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pgallotta\Documents\Power Communications\Power Comms\Customer Programs\EV New Construction Program\Final Docs\Updated 2023\"/>
    </mc:Choice>
  </mc:AlternateContent>
  <xr:revisionPtr revIDLastSave="0" documentId="13_ncr:1_{8104BA62-D0AB-4CA4-BC85-AA6CAF458253}" xr6:coauthVersionLast="46" xr6:coauthVersionMax="47" xr10:uidLastSave="{00000000-0000-0000-0000-000000000000}"/>
  <bookViews>
    <workbookView xWindow="-110" yWindow="-110" windowWidth="19420" windowHeight="10420" tabRatio="641" activeTab="3" xr2:uid="{FF4E79F1-9CCE-4AB8-8176-4D35FA74AFDF}"/>
  </bookViews>
  <sheets>
    <sheet name="Instructions" sheetId="27" r:id="rId1"/>
    <sheet name="Customer Info" sheetId="15" r:id="rId2"/>
    <sheet name="Code Reqts" sheetId="28" r:id="rId3"/>
    <sheet name="Incentives" sheetId="26" r:id="rId4"/>
    <sheet name="Load Mgmt Scenarios" sheetId="24" r:id="rId5"/>
    <sheet name="Definitions" sheetId="29" r:id="rId6"/>
    <sheet name="Basic EV Plan Inputs" sheetId="30" r:id="rId7"/>
    <sheet name="Basic EV Action Plan Text" sheetId="31" r:id="rId8"/>
  </sheets>
  <definedNames>
    <definedName name="_xlnm._FilterDatabase" localSheetId="6" hidden="1">'Basic EV Plan Inputs'!$A$2:$O$35</definedName>
    <definedName name="_xlnm.Print_Area" localSheetId="2">'Code Reqts'!$B$2:$G$10</definedName>
    <definedName name="_xlnm.Print_Area" localSheetId="1">'Customer Info'!$B$1:$C$33</definedName>
    <definedName name="_xlnm.Print_Area" localSheetId="0">Instructions!$B$1:$C$12</definedName>
    <definedName name="_xlnm.Print_Area" localSheetId="4">'Load Mgmt Scenarios'!$B$4:$I$15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26" l="1"/>
  <c r="F8" i="26"/>
  <c r="AO12" i="26"/>
  <c r="AO10" i="26"/>
  <c r="AO5" i="26"/>
  <c r="AO4" i="26"/>
  <c r="AN14" i="26" s="1"/>
  <c r="AH12" i="26"/>
  <c r="AH10" i="26"/>
  <c r="AH5" i="26"/>
  <c r="AH4" i="26"/>
  <c r="AG14" i="26" s="1"/>
  <c r="AA12" i="26"/>
  <c r="AA10" i="26"/>
  <c r="AA5" i="26"/>
  <c r="AA4" i="26"/>
  <c r="Z14" i="26" s="1"/>
  <c r="T5" i="26"/>
  <c r="F5" i="26"/>
  <c r="T4" i="26"/>
  <c r="S14" i="26" s="1"/>
  <c r="F4" i="26"/>
  <c r="T12" i="26"/>
  <c r="T10" i="26"/>
  <c r="T9" i="26" l="1"/>
  <c r="T11" i="26"/>
  <c r="AO11" i="26"/>
  <c r="AO8" i="26"/>
  <c r="AO9" i="26"/>
  <c r="AH8" i="26"/>
  <c r="AH9" i="26"/>
  <c r="AH11" i="26"/>
  <c r="AA11" i="26"/>
  <c r="AA9" i="26"/>
  <c r="AA8" i="26"/>
  <c r="T8" i="26"/>
  <c r="AH14" i="26" l="1"/>
  <c r="AA14" i="26"/>
  <c r="AO14" i="26"/>
  <c r="T14" i="26"/>
  <c r="E14" i="26" l="1"/>
  <c r="B52" i="31" l="1"/>
  <c r="B53" i="31"/>
  <c r="B10" i="31"/>
  <c r="B11" i="31"/>
  <c r="D1" i="31"/>
  <c r="B4" i="24"/>
  <c r="C83" i="31" l="1"/>
  <c r="C82" i="31"/>
  <c r="C81" i="31"/>
  <c r="C77" i="31"/>
  <c r="C76" i="31"/>
  <c r="C75" i="31"/>
  <c r="C74" i="31"/>
  <c r="C73" i="31"/>
  <c r="C72" i="31"/>
  <c r="B68" i="31"/>
  <c r="B30" i="31"/>
  <c r="B26" i="31"/>
  <c r="C19" i="31"/>
  <c r="C18" i="31"/>
  <c r="B9" i="31"/>
  <c r="B8" i="31"/>
  <c r="B64" i="31"/>
  <c r="B63" i="31"/>
  <c r="B62" i="31"/>
  <c r="B59" i="31"/>
  <c r="B58" i="31"/>
  <c r="B57" i="31"/>
  <c r="B56" i="31"/>
  <c r="B50" i="31"/>
  <c r="B25" i="31"/>
  <c r="C24" i="31"/>
  <c r="B16" i="31"/>
  <c r="B15" i="31"/>
  <c r="N44" i="31"/>
  <c r="N43" i="31"/>
  <c r="N42" i="31"/>
  <c r="N41" i="31"/>
  <c r="D5" i="30"/>
  <c r="E4" i="24" l="1"/>
  <c r="F4" i="28"/>
  <c r="N33" i="31" s="1"/>
  <c r="F9" i="26" l="1"/>
  <c r="E5" i="24"/>
  <c r="L14" i="24"/>
  <c r="I11" i="24"/>
  <c r="I15" i="24" s="1"/>
  <c r="D6" i="30"/>
  <c r="B7" i="31" s="1"/>
  <c r="D4" i="30"/>
  <c r="B6" i="31" s="1"/>
  <c r="F11" i="26" l="1"/>
  <c r="O43" i="31" s="1"/>
  <c r="F6" i="24"/>
  <c r="F5" i="24"/>
  <c r="F4" i="24"/>
  <c r="F6" i="28"/>
  <c r="N34" i="31" s="1"/>
  <c r="F10" i="26"/>
  <c r="O42" i="31" s="1"/>
  <c r="L8" i="26"/>
  <c r="B67" i="31"/>
  <c r="B51" i="31"/>
  <c r="B49" i="31"/>
  <c r="B17" i="31"/>
  <c r="O41" i="31" l="1"/>
  <c r="M8" i="26"/>
  <c r="N45" i="31"/>
  <c r="O45" i="31" s="1"/>
  <c r="O44" i="31"/>
  <c r="F14" i="26" l="1"/>
  <c r="B6" i="24"/>
  <c r="C4" i="24"/>
  <c r="B5" i="24"/>
  <c r="E6" i="24" l="1"/>
  <c r="C11" i="24"/>
  <c r="L12" i="24" l="1"/>
  <c r="L11" i="24"/>
  <c r="L13" i="24" s="1"/>
  <c r="L15" i="24" l="1"/>
  <c r="F9" i="28"/>
  <c r="D20" i="30" l="1"/>
  <c r="N36" i="31"/>
  <c r="F7" i="28"/>
  <c r="N35" i="31" s="1"/>
  <c r="F10" i="28"/>
  <c r="N37" i="31" s="1"/>
  <c r="I14" i="24" l="1"/>
  <c r="H11" i="26"/>
  <c r="H10" i="26"/>
  <c r="H8" i="26"/>
  <c r="L4" i="26" l="1"/>
  <c r="L10" i="26"/>
  <c r="H14" i="26"/>
  <c r="K4" i="26"/>
  <c r="K10" i="26"/>
  <c r="K8" i="26"/>
  <c r="G8" i="26" l="1"/>
  <c r="C19" i="24" l="1"/>
  <c r="C18" i="24" l="1"/>
  <c r="D18" i="24" s="1"/>
  <c r="I13" i="24" l="1"/>
  <c r="I14" i="26"/>
  <c r="F12" i="24"/>
  <c r="F14" i="24" s="1"/>
  <c r="I12" i="24"/>
  <c r="C12" i="24"/>
  <c r="F11" i="24" l="1"/>
  <c r="C14" i="24"/>
  <c r="C13" i="24"/>
  <c r="C17" i="24" s="1"/>
  <c r="F13" i="24" l="1"/>
  <c r="D17" i="24"/>
  <c r="C15" i="24"/>
  <c r="F15"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tc={3F44E504-B8B5-403F-AB8B-EE3E6EE4B4ED}</author>
  </authors>
  <commentList>
    <comment ref="B24" authorId="0" shapeId="0" xr:uid="{3F44E504-B8B5-403F-AB8B-EE3E6EE4B4ED}">
      <text>
        <t>[Threaded comment]
Your version of Excel allows you to read this threaded comment; however, any edits to it will get removed if the file is opened in a newer version of Excel. Learn more: https://go.microsoft.com/fwlink/?linkid=870924
Comment:
    Is this needed?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Maroney, Michael</author>
    <author>tc={5B430986-A63C-419C-BB4E-A56083190A3F}</author>
    <author>tc={8AFA5BC5-A138-4E53-915B-14DD2E202F58}</author>
    <author>tc={3EC99396-CE1C-40BD-84DB-EACFEC019842}</author>
    <author>tc={90CB43BB-2107-40FE-8E14-6617A40BF909}</author>
    <author>tc={83E7BFE9-5BE0-4CC7-9D07-F364122FFF13}</author>
  </authors>
  <commentList>
    <comment ref="C11" authorId="0" shapeId="0" xr:uid="{64599F69-D437-4E5E-B6D5-AA176EE64195}">
      <text>
        <r>
          <rPr>
            <sz val="9"/>
            <color rgb="FF000000"/>
            <rFont val="Tahoma"/>
            <family val="2"/>
          </rPr>
          <t>Installed upgradeable 20A outlets (either 120 volt or 240 volt) will not count towards code requirement for EV-Ready circuits in 10% of stalls.</t>
        </r>
      </text>
    </comment>
    <comment ref="Q11" authorId="0" shapeId="0" xr:uid="{CAFAF211-30C9-4D21-B4BD-D80BEF346FAE}">
      <text>
        <r>
          <rPr>
            <sz val="9"/>
            <color rgb="FF000000"/>
            <rFont val="Tahoma"/>
            <family val="2"/>
          </rPr>
          <t>Installed upgradeable 20A outlets (either 120 volt or 240 volt) will not count towards code requirement for EV-Ready circuits in 10% of stalls.</t>
        </r>
      </text>
    </comment>
    <comment ref="X11" authorId="0" shapeId="0" xr:uid="{C9ADBD0B-501F-4BB7-9F81-963895BF01FD}">
      <text>
        <r>
          <rPr>
            <sz val="9"/>
            <color rgb="FF000000"/>
            <rFont val="Tahoma"/>
            <family val="2"/>
          </rPr>
          <t>Installed upgradeable 20A outlets (either 120 volt or 240 volt) will not count towards code requirement for EV-Ready circuits in 10% of stalls.</t>
        </r>
      </text>
    </comment>
    <comment ref="AE11" authorId="0" shapeId="0" xr:uid="{117F0956-DA56-40B6-B6B0-1EF57CB9DF9F}">
      <text>
        <r>
          <rPr>
            <sz val="9"/>
            <color rgb="FF000000"/>
            <rFont val="Tahoma"/>
            <family val="2"/>
          </rPr>
          <t>Installed upgradeable 20A outlets (either 120 volt or 240 volt) will not count towards code requirement for EV-Ready circuits in 10% of stalls.</t>
        </r>
      </text>
    </comment>
    <comment ref="AL11" authorId="0" shapeId="0" xr:uid="{30B316DB-789A-4320-89C9-4957346DFFE1}">
      <text>
        <r>
          <rPr>
            <sz val="9"/>
            <color rgb="FF000000"/>
            <rFont val="Tahoma"/>
            <family val="2"/>
          </rPr>
          <t>Installed upgradeable 20A outlets (either 120 volt or 240 volt) will not count towards code requirement for EV-Ready circuits in 10% of stalls.</t>
        </r>
      </text>
    </comment>
    <comment ref="C12" authorId="1" shapeId="0" xr:uid="{5B430986-A63C-419C-BB4E-A56083190A3F}">
      <text>
        <t>[Threaded comment]
Your version of Excel allows you to read this threaded comment; however, any edits to it will get removed if the file is opened in a newer version of Excel. Learn more: https://go.microsoft.com/fwlink/?linkid=870924
Comment:
    edited text</t>
      </text>
    </comment>
    <comment ref="Q12" authorId="2" shapeId="0" xr:uid="{8AFA5BC5-A138-4E53-915B-14DD2E202F58}">
      <text>
        <t>[Threaded comment]
Your version of Excel allows you to read this threaded comment; however, any edits to it will get removed if the file is opened in a newer version of Excel. Learn more: https://go.microsoft.com/fwlink/?linkid=870924
Comment:
    edited text</t>
      </text>
    </comment>
    <comment ref="X12" authorId="3" shapeId="0" xr:uid="{3EC99396-CE1C-40BD-84DB-EACFEC019842}">
      <text>
        <t>[Threaded comment]
Your version of Excel allows you to read this threaded comment; however, any edits to it will get removed if the file is opened in a newer version of Excel. Learn more: https://go.microsoft.com/fwlink/?linkid=870924
Comment:
    edited text</t>
      </text>
    </comment>
    <comment ref="AE12" authorId="4" shapeId="0" xr:uid="{90CB43BB-2107-40FE-8E14-6617A40BF909}">
      <text>
        <t>[Threaded comment]
Your version of Excel allows you to read this threaded comment; however, any edits to it will get removed if the file is opened in a newer version of Excel. Learn more: https://go.microsoft.com/fwlink/?linkid=870924
Comment:
    edited text</t>
      </text>
    </comment>
    <comment ref="AL12" authorId="5" shapeId="0" xr:uid="{83E7BFE9-5BE0-4CC7-9D07-F364122FFF13}">
      <text>
        <t>[Threaded comment]
Your version of Excel allows you to read this threaded comment; however, any edits to it will get removed if the file is opened in a newer version of Excel. Learn more: https://go.microsoft.com/fwlink/?linkid=870924
Comment:
    edited text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TOS</author>
  </authors>
  <commentList>
    <comment ref="C13" authorId="0" shapeId="0" xr:uid="{9CAA6AA1-B0E5-4FBA-8F1F-D16C8551577F}">
      <text>
        <r>
          <rPr>
            <b/>
            <sz val="9"/>
            <color indexed="81"/>
            <rFont val="Tahoma"/>
            <family val="2"/>
          </rPr>
          <t>SFPUC:</t>
        </r>
        <r>
          <rPr>
            <sz val="9"/>
            <color indexed="81"/>
            <rFont val="Tahoma"/>
            <family val="2"/>
          </rPr>
          <t xml:space="preserve">
To see complete statement, please click on an item in the drop down menu; the statement appears in the input box above.</t>
        </r>
      </text>
    </comment>
    <comment ref="H13" authorId="0" shapeId="0" xr:uid="{A56B1ABD-5F6E-48B4-8D54-A9FE222BD93F}">
      <text>
        <r>
          <rPr>
            <b/>
            <sz val="9"/>
            <color indexed="81"/>
            <rFont val="Tahoma"/>
            <family val="2"/>
          </rPr>
          <t>TOS:</t>
        </r>
        <r>
          <rPr>
            <sz val="9"/>
            <color indexed="81"/>
            <rFont val="Tahoma"/>
            <family val="2"/>
          </rPr>
          <t xml:space="preserve">
- During construction, the building will install only code-required EV Ready infrastructure. 
- During construction, the building owner will install upgradable Low power (Level 1/ 120V) EV charging outlets in some vehicle stalls. 
- During construction, the building owner will install Level 2 EV chargers in some shared vehicle stalls.
- During construction, the building owner will install Level 2 EV chargers in some assigned vehicle stalls.
- During construction, a third party will install equipment to provide an EV charging service.
- During construction, [other – fillable text]
</t>
        </r>
      </text>
    </comment>
    <comment ref="H14" authorId="0" shapeId="0" xr:uid="{453BA132-FA4E-47FE-B4D9-7320FC50093A}">
      <text>
        <r>
          <rPr>
            <b/>
            <sz val="9"/>
            <color indexed="81"/>
            <rFont val="Tahoma"/>
            <family val="2"/>
          </rPr>
          <t xml:space="preserve">- Post-construction, individual owners will install EV chargers in vehicle stalls “made ready” for EVSE by the site;
- Post-construction, individual owners will develop EV circuits and installing Level 2 EV chargers or Low Power (Level 1 Outlets) themselves, in coordination with building management.
- Post-construction, a third party will install equipment to provide an EV charging service.
- Post-construction, [other – fillable text]
</t>
        </r>
        <r>
          <rPr>
            <sz val="9"/>
            <color indexed="81"/>
            <rFont val="Tahoma"/>
            <family val="2"/>
          </rPr>
          <t xml:space="preserve">
</t>
        </r>
      </text>
    </comment>
  </commentList>
</comments>
</file>

<file path=xl/sharedStrings.xml><?xml version="1.0" encoding="utf-8"?>
<sst xmlns="http://schemas.openxmlformats.org/spreadsheetml/2006/main" count="565" uniqueCount="352">
  <si>
    <t>Code Requirements</t>
  </si>
  <si>
    <t>EV Action Plan</t>
  </si>
  <si>
    <t>Load Management Scenarios</t>
  </si>
  <si>
    <t>Customer Information</t>
  </si>
  <si>
    <t>Site Details</t>
  </si>
  <si>
    <t>Property Owner Name</t>
  </si>
  <si>
    <t>New Customer 1</t>
  </si>
  <si>
    <t>Point of Contact</t>
  </si>
  <si>
    <t>Site Street Address</t>
  </si>
  <si>
    <t>123 West Street</t>
  </si>
  <si>
    <t>Site Apt/Unit #</t>
  </si>
  <si>
    <t>Site City</t>
  </si>
  <si>
    <t>Site Zip Code</t>
  </si>
  <si>
    <t>E-mail</t>
  </si>
  <si>
    <t>pm@newcustomerjr.com</t>
  </si>
  <si>
    <t>Phone</t>
  </si>
  <si>
    <t>212-556-3815</t>
  </si>
  <si>
    <t>Mixed-Use Building</t>
  </si>
  <si>
    <t>Will building units be owned, rented, or both?</t>
  </si>
  <si>
    <t>Both</t>
  </si>
  <si>
    <t>Will building have townhomes/condos?</t>
  </si>
  <si>
    <t>Market Rate</t>
  </si>
  <si>
    <t>Affordable</t>
  </si>
  <si>
    <t>Total number of proposed units (residential only)</t>
  </si>
  <si>
    <t>Have you selected a property management company?</t>
  </si>
  <si>
    <t>Yes</t>
  </si>
  <si>
    <t>No</t>
  </si>
  <si>
    <t>Property Management Company</t>
  </si>
  <si>
    <t>PM Company 1</t>
  </si>
  <si>
    <t>Who is decision maker / who is funding this project</t>
  </si>
  <si>
    <t>Owner's Representative</t>
  </si>
  <si>
    <t>Property Manager</t>
  </si>
  <si>
    <t>Will you be submitting an EV Action Plan?</t>
  </si>
  <si>
    <t>Why are EV charging ports being installed?</t>
  </si>
  <si>
    <t>Amenity</t>
  </si>
  <si>
    <t>Public</t>
  </si>
  <si>
    <t>Open to Public</t>
  </si>
  <si>
    <t>If controlled, are cars valeted?</t>
  </si>
  <si>
    <t>Self-park</t>
  </si>
  <si>
    <t>Number of floors with parking</t>
  </si>
  <si>
    <t>Quantity</t>
  </si>
  <si>
    <t xml:space="preserve">Total Vehicle Stalls </t>
  </si>
  <si>
    <t>Total number of vehicle stalls planned for your property (including standard and ADA parking)</t>
  </si>
  <si>
    <t>Total vehicle stalls</t>
  </si>
  <si>
    <t># of vehicle stalls used to calculate the code-required EV-Dedicated Electrical Capacity</t>
  </si>
  <si>
    <t xml:space="preserve">The San Francisco EV ordinance requires electrical capacity sized for simultaneous Level 2 EVSE charging in 20% of total vehicle stalls. The electrical capacity for EV charging must be sized so that each space has the capacity for 240V 40A service.  This is the load calculation.  Given NEC 625 and SF City requirements it must be calculated and designed to provide the service as “dedicated and continuous” meaning that the load is not shared with any other devices on the property.  </t>
  </si>
  <si>
    <t>10% must have EV Ready Circuits
(Amps, Breaker, Wiring, Conduit)</t>
  </si>
  <si>
    <t>EV Ready Vehicle Stalls Required</t>
  </si>
  <si>
    <t>Empty Breakers Required</t>
  </si>
  <si>
    <t>Please refer to the Program Handbook, Program Incentives Tab, and Glossary for more information on Code Requirements and Program Offerings.</t>
  </si>
  <si>
    <t>Incentive Title</t>
  </si>
  <si>
    <t>Incentive Description</t>
  </si>
  <si>
    <t>Incentive ($)</t>
  </si>
  <si>
    <t>How Many Amps Would That Be?</t>
  </si>
  <si>
    <t>formula is broken</t>
  </si>
  <si>
    <t>Additional Charger Ports 
(for Level 2 EVSE)</t>
  </si>
  <si>
    <t xml:space="preserve">EV Charging Outlets   </t>
  </si>
  <si>
    <t>formula is broken; "EV Capacity" seems unclear. PCEA uses Level 1 Outlet. Let's talk about the downsides of this term. A change here also means changes throughout the Handbook and Flyer.</t>
  </si>
  <si>
    <t>Conduit for Future EV Branch Circuits</t>
  </si>
  <si>
    <t>edit text</t>
  </si>
  <si>
    <t>Design Considerations</t>
  </si>
  <si>
    <t>Electrical Capacity Required</t>
  </si>
  <si>
    <t>Base Case Scenario</t>
  </si>
  <si>
    <t>Scenario 1 - PowerShare</t>
  </si>
  <si>
    <t>Scenario 2 - Dynamic Load Management</t>
  </si>
  <si>
    <t>Scenario 3 - Low Power 20A Outlets</t>
  </si>
  <si>
    <t>How many TOTAL parking stalls can be served using the Amps required and Dynamic Load Management (Minimum 10 Amps / Stall)?</t>
  </si>
  <si>
    <t>Amps required for this solution</t>
  </si>
  <si>
    <t>How many PowerShare enabled charging stations with 2 ports would be required?</t>
  </si>
  <si>
    <t>How many Level 1 EV Charging Outlets would need to be installed?</t>
  </si>
  <si>
    <t>EVSE Incentives Estimate for this Scenario</t>
  </si>
  <si>
    <t>Remainder</t>
  </si>
  <si>
    <t>10% rounded up</t>
  </si>
  <si>
    <t>1 = Affordable</t>
  </si>
  <si>
    <t>Market 10 %</t>
  </si>
  <si>
    <t>Affordable 10%</t>
  </si>
  <si>
    <t>Remainder Market</t>
  </si>
  <si>
    <t>Remainder Affordable</t>
  </si>
  <si>
    <t>1. Sufficient electrical service capacity to simultaneously charge EVs (at “Level 2” charging) in 20% of vehicle stalls, distributed as described below.</t>
  </si>
  <si>
    <t>2. Full circuits ready for easy installation of Level 2 EV chargers (i.e., 40-amp circuits) installed at 10% of vehicle stalls. (Actual charging station installation not required.)</t>
  </si>
  <si>
    <t>3. Electrical panelboards with empty 240V breaker spaces equal to a "second 10%" of vehicle stalls (i.e., these panel spaces are in addition to the breakers needed for full branch circuits noted in #2, above), and electrical capacity at the panel sufficient to provide 40 amps each for this "second 10%" of vehicle stalls.</t>
  </si>
  <si>
    <t>The SF EV Ordinance applies to your project in the following ways.</t>
  </si>
  <si>
    <t xml:space="preserve">Level 2 EV Chargers (EVSE) Installed
</t>
  </si>
  <si>
    <t>In dedicating this row to Dual port only in EV Ready  spaces, we have lost the EVSE incentive (both single and Dual port) for non-EV-Ready spaces.  
Also, Dual Port requires us to change from a parking space multiplier basis to a per port basis.  
Also, how do we handle dual port in the first 10% of stalls? Ans: if the circuit for stall #2 is used to power a second port on EVSE #1 rather than its own EVSE, then it gets $500 rather than $2000 -  same as next 10% where you only get $500 vs $3000 if you choose a port vs an EVSE.</t>
  </si>
  <si>
    <t>Mock up - moved to distinguish from Incentives</t>
  </si>
  <si>
    <t>Sample Inputs</t>
  </si>
  <si>
    <t>Vehicle Stalls</t>
  </si>
  <si>
    <t>Market Rate or Affordable (Important!)</t>
  </si>
  <si>
    <t>From EV Charge SF Program Handbook</t>
  </si>
  <si>
    <t>Field Type</t>
  </si>
  <si>
    <t>Picklists</t>
  </si>
  <si>
    <t>Temporary Cells mimicking Worksheet Outputs</t>
  </si>
  <si>
    <t>Comments/Notes</t>
  </si>
  <si>
    <t>Section Headings</t>
  </si>
  <si>
    <t>Autofill</t>
  </si>
  <si>
    <t>Code Reqts Tab</t>
  </si>
  <si>
    <t>Vision Summary</t>
  </si>
  <si>
    <t>Total Vehicle stalls</t>
  </si>
  <si>
    <t>Number</t>
  </si>
  <si>
    <t>EV Req'd capacity</t>
  </si>
  <si>
    <t>amps</t>
  </si>
  <si>
    <t>Empty Breakers in Panel</t>
  </si>
  <si>
    <t>Incentives Tab</t>
  </si>
  <si>
    <t>L2 EVSE</t>
  </si>
  <si>
    <t>Will your project earn LEED points for installing EV charging?</t>
  </si>
  <si>
    <t>Yes/No/unsure</t>
  </si>
  <si>
    <t>Unsure</t>
  </si>
  <si>
    <t>L1 EV Outlets</t>
  </si>
  <si>
    <t>Meeting EV Charging Demand</t>
  </si>
  <si>
    <t>Who will be the primary users of the site's parking?</t>
  </si>
  <si>
    <t>Residential Owners</t>
  </si>
  <si>
    <t>Background doc - Meeting Charging Demand Section</t>
  </si>
  <si>
    <t>Picklist</t>
  </si>
  <si>
    <t>Residential Renters</t>
  </si>
  <si>
    <t>Commercial customers</t>
  </si>
  <si>
    <t>Employees</t>
  </si>
  <si>
    <t>L2 Outlets</t>
  </si>
  <si>
    <t xml:space="preserve">How much demand for EV charging at this site is expected during the first 3-to-5 years of occupancy? </t>
  </si>
  <si>
    <t>Low</t>
  </si>
  <si>
    <t>High/low/moderate</t>
  </si>
  <si>
    <t>High</t>
  </si>
  <si>
    <t>Moderate</t>
  </si>
  <si>
    <t>Empty Conduit</t>
  </si>
  <si>
    <t xml:space="preserve">How much demand for EV charging at this site is expected during the first 10-to-15 years of occupancy? </t>
  </si>
  <si>
    <t xml:space="preserve">the project will install upgradable Low power (Level 1/ 120V) EV charging outlets in some vehicle stalls. </t>
  </si>
  <si>
    <t>the project will install only code-required EV Ready infrastructure.</t>
  </si>
  <si>
    <t>the project will install Level 2 EV chargers in some shared vehicle stalls.</t>
  </si>
  <si>
    <t>the project will install Level 2 EV chargers in some assigned vehicle stalls.</t>
  </si>
  <si>
    <t>a third party will install equipment to provide an EV charging service.</t>
  </si>
  <si>
    <t>individual owners will install EV chargers in vehicle stalls “made ready” for EVSE by the site;</t>
  </si>
  <si>
    <t>individual owners will develop EV circuits and installing Level 2 EV chargers or Low Power (Level 1 Outlets) themselves, in coordination with building management.</t>
  </si>
  <si>
    <t>building management will install EV equipment to meet future demand for EV charging.</t>
  </si>
  <si>
    <t>Once the project is built, who is is expected to be the main driver(s) for the site's EV Charging investment strategy?</t>
  </si>
  <si>
    <t xml:space="preserve">Condo Owners </t>
  </si>
  <si>
    <t xml:space="preserve">Picklist </t>
  </si>
  <si>
    <t>Home Owners Association</t>
  </si>
  <si>
    <t>Commercial Lease Holders</t>
  </si>
  <si>
    <t>Will the future management and operations team for the site have input to this EV Action Plan?</t>
  </si>
  <si>
    <t>Code</t>
  </si>
  <si>
    <t>Yes/No/Unsure</t>
  </si>
  <si>
    <t>Does your project currently have a plan for complying with ADA-accessiblity requirements (CBC 11b) for EV Port Accesibility requirements?</t>
  </si>
  <si>
    <t>does not have</t>
  </si>
  <si>
    <t>Electrical Considerations</t>
  </si>
  <si>
    <t>The maximum number of Level 2 EV chargers supported by code-required electrical capacity is:</t>
  </si>
  <si>
    <t>Will more than 20% of vehicle stalls be supported by EV charging at any point in the future?</t>
  </si>
  <si>
    <t xml:space="preserve">If so: </t>
  </si>
  <si>
    <t>- Is the site considering load share, load balancing or load management to stretch the available electrical capacity to serve more vehicle stalls?</t>
  </si>
  <si>
    <t>Not at this time</t>
  </si>
  <si>
    <t>- Do you anticipate adding more power capacity in the future to scale-up EV charging?</t>
  </si>
  <si>
    <t>Ownership and Billing Model</t>
  </si>
  <si>
    <t>Who will own the EV charging equipment?</t>
  </si>
  <si>
    <t>Commerical Tenants</t>
  </si>
  <si>
    <t>Picklist (Building manager, Residents, Commercial Tenants, 3rd party)</t>
  </si>
  <si>
    <t>Residential Tenants</t>
  </si>
  <si>
    <t>3rd Party</t>
  </si>
  <si>
    <t>Undecided/Unsure</t>
  </si>
  <si>
    <t>What will be the site's approach to networking the Level 2 EVSE?</t>
  </si>
  <si>
    <t>Open Charge Point Network &amp; Vendors</t>
  </si>
  <si>
    <t>Proprietary Vendors</t>
  </si>
  <si>
    <t>Third Party Managed Networks</t>
  </si>
  <si>
    <t>Who will manage EV charger maintenance and billing?</t>
  </si>
  <si>
    <t>Individual Tenants</t>
  </si>
  <si>
    <t>Will EV charging electricity will be segregated from other building energy use?</t>
  </si>
  <si>
    <t>Picklist (driver, building manager, other)</t>
  </si>
  <si>
    <t>Driver</t>
  </si>
  <si>
    <t>Building Management</t>
  </si>
  <si>
    <t>Third Party</t>
  </si>
  <si>
    <t>Will you charge the driver for electricity to charge their vehicles?</t>
  </si>
  <si>
    <t>Have you factored yearly network operational costs per port and merchant payment fees into the business model?</t>
  </si>
  <si>
    <t>Vendors</t>
  </si>
  <si>
    <t>Have you identified EVSE vendors for your project?</t>
  </si>
  <si>
    <t>Background doc - Vendor Section</t>
  </si>
  <si>
    <t>If you have selected an EVSE vendor, please list the vendor name</t>
  </si>
  <si>
    <t>Open Text</t>
  </si>
  <si>
    <t>Briefly note the reason for selecting this vendor.</t>
  </si>
  <si>
    <t xml:space="preserve">If applicable, which charging station model will you pursue for the site? </t>
  </si>
  <si>
    <t>Required Attachments:  Electrical Map</t>
  </si>
  <si>
    <t>Please submit a map of electrical room and conduit exits</t>
  </si>
  <si>
    <t>Upload</t>
  </si>
  <si>
    <t>Please list the manufacturer of the electrical panels(s), if known</t>
  </si>
  <si>
    <t>Please list the switchplate rating of panel (Voltage, Amps and Phase and Spaces)</t>
  </si>
  <si>
    <t>Please note if there is an electrical panel used exclusively to EV load and breakers</t>
  </si>
  <si>
    <t>Please note if the electricity for EV load served with a separate utility meter</t>
  </si>
  <si>
    <t>SFPUC to develop piece for separate meter pro-con</t>
  </si>
  <si>
    <t>Parking Map</t>
  </si>
  <si>
    <t xml:space="preserve">Please note on the parking map all designations for Condo/Townhouses owned parking; Residential renters (apartments) designated parking; Public Visitors Parking; Retail Customers Parking; Workplace Employees Parking; ADA-accessible Parking </t>
  </si>
  <si>
    <t>Please submit a map of parking identifying which vehicle stalls will be EVSE Installed, EV Ready (i.e., full 40A circuit), L1 EV Outlet, and EV-Conduit-Only + table summary of each # of vehicle stalls</t>
  </si>
  <si>
    <t>Please note on the parking map the approx. distance from the EV-serving utility panel to furthest vehicle stall planned for EV charging</t>
  </si>
  <si>
    <t>Updates</t>
  </si>
  <si>
    <t>From "Code Reqs" tab in workbook</t>
  </si>
  <si>
    <t>Per SF EV Readiness Code, the site is required to install:</t>
  </si>
  <si>
    <t>"0 Level 2 EVSE, [EV Ready #] EV-Ready veh. Stalls, [##] empty spaces in electrical panelboards for 40A breakers, 0 Low Power (L1) Outlets, and conduit to 0 additional vehicle stalls.</t>
  </si>
  <si>
    <t>SF EV Readiness code piece</t>
  </si>
  <si>
    <t>Autofill #s From Workbook - code #s</t>
  </si>
  <si>
    <t>From "Planned Incentives" tab in workbook</t>
  </si>
  <si>
    <t>At the time of this EV Actin Plan, the site is installing the following EV Charging equpment and infrastructure:</t>
  </si>
  <si>
    <t>"[#] Level 2 EVSE, [EV Ready #] EV-Ready vehicle stalls, [##] empty spaces in electrical panelboards for 40A breakers, [#] Low Power (L1) Outlets, and conduit to [#] additional vehicle stalls.</t>
  </si>
  <si>
    <t>Autofill #s From Workbook - incentive request #s</t>
  </si>
  <si>
    <t>Should have this information from Hetch Hetchy Customer service</t>
  </si>
  <si>
    <t xml:space="preserve">What is the rate per kWh of your electrical service? </t>
  </si>
  <si>
    <t>link SFPUC rate book</t>
  </si>
  <si>
    <t>Are you on a Time of Use plan?</t>
  </si>
  <si>
    <t>Demand Profile</t>
  </si>
  <si>
    <t>Key Stakeholders</t>
  </si>
  <si>
    <t>Project's Total Vehicle Stalls     (Code requirements are based on this #)</t>
  </si>
  <si>
    <t xml:space="preserve">20% of Vehicle stalls     (used by EV Ordinance to calculate required electrical capacity [amps]) </t>
  </si>
  <si>
    <t>Incentive Summary</t>
  </si>
  <si>
    <t>Planned Incentives</t>
  </si>
  <si>
    <t>Total Vehicle Stalls with EV Charging or EV-Conduit    and Percent of Total Vehicle Stalls</t>
  </si>
  <si>
    <t>Operational Considerations</t>
  </si>
  <si>
    <t>Customer and Payment Information</t>
  </si>
  <si>
    <t>EV Charging Station Vendor</t>
  </si>
  <si>
    <t>Attachment:  Electrical Drawing</t>
  </si>
  <si>
    <t xml:space="preserve">The electrical drawing(s) attached include: </t>
  </si>
  <si>
    <t>Single line drawing</t>
  </si>
  <si>
    <t>Map of electrical room and conduit exits</t>
  </si>
  <si>
    <t>Manufacturer of the electrical panels(s), if known, is noted</t>
  </si>
  <si>
    <t>Notes whether an electrical panel is used exclusively to power EV load and breakers</t>
  </si>
  <si>
    <t>Notes whether EV load served with a separate utility meter</t>
  </si>
  <si>
    <t>Attachment:  Parking Map</t>
  </si>
  <si>
    <t>The Parking Map for the property, attached, includes:</t>
  </si>
  <si>
    <t>Parking designations, e.g., assigned tenant parking, employee parking, etc.</t>
  </si>
  <si>
    <t>Vehicle stalls identified with EV charging capability</t>
  </si>
  <si>
    <t>Note for the approximate distance from the utility panel to the farthest vehicle stall</t>
  </si>
  <si>
    <t>How many TOTAL parking stalls can be served using the ordinance-mandated Amps requirement, assuming Level 2 charging?</t>
  </si>
  <si>
    <t>How many vehicle stalls would have either 120V 20A outlets or 240V 40A outlets?</t>
  </si>
  <si>
    <t>Use a "PowerShare" EV station that allows an EV charging station with 2-to-4 ports to be wired to a single 240V 40A circuit.  E.g., if the EVSE has two ports, an individual vehicle can get a 40A charge, and if two adjacent vehicles are charging simultaneously each will get 20A. (This strategy is also referred to as "circuit-sharing".)
This technology would qualify for the Level 2 EVSE incentives and the additional charger port incentives.</t>
  </si>
  <si>
    <t>How many vehicle stalls will have empty conduit runs and available breakers in the electrical panel installed at the time of initial building occupancy?</t>
  </si>
  <si>
    <t>How many Level 2 EV chargers do you plan to install at the time of initial building occupancy?</t>
  </si>
  <si>
    <t xml:space="preserve">San Francisco seeks to reduce reliance on cars - and to electrify those that stay on the roads. Starting January 2018, San Francisco's Electric Vehicle Readiness Ordinance requires new residential, commercial, and municipal buildings, and major alterations to have:                                                             </t>
  </si>
  <si>
    <t>Point of Contact's Relationship to Property</t>
  </si>
  <si>
    <t>Will there be electrical service dedicated solely to EV charging?</t>
  </si>
  <si>
    <t>Will vehicle stalls be private, public, or mixed?</t>
  </si>
  <si>
    <t>Will vehicle stalls be Access-controlled or an Open Parking Lot?</t>
  </si>
  <si>
    <t>If vehicle stalls are assigned, number of assigned vehicle stalls?</t>
  </si>
  <si>
    <t>If public, number of public vehicle stalls?</t>
  </si>
  <si>
    <t>Total number of proposed vehicle stalls? (Important!)</t>
  </si>
  <si>
    <t>Note: Also see www.sfpuc.org/evchargesf for a more detailed description of San Francisco's EV Readiness Ordinance requirements</t>
  </si>
  <si>
    <t>EV Charge SF Program Incentives</t>
  </si>
  <si>
    <t xml:space="preserve">
This is the Level 2 EV charging potential of your project without any Load Management strategies deployed.
This technology choice would qualify for the Level 2 EVSE incentives.</t>
  </si>
  <si>
    <t>How many charging stations could be served with this amount of electrical energy, given 240V 40A requirements for Level 2?</t>
  </si>
  <si>
    <t>Use low power EV charging outlets. This scenario assumes that, for the 10% of vehicle stalls required to be L2 EV Ready, the project installs an outlet compatible with a 40A circuit to allow for a future plug-in Level 2 charger. (Not incentive-eligible.) Then the project uses low power EV charging outlets at Level 1 (120V 20A) or Level 2 (240V 20A) powered by the remaining code-required Amps.
Note:  If a developer wished to provide 20A outlets for all parking stalls beyond the 10% EV-Ready stalls, they would have to install more panel space and electrical capacity. This may be appropriate, depending on the use case and business model.
This would qualify for the EV charger outlet incentives</t>
  </si>
  <si>
    <t>How many Amps would be required to serve this number of spaces with dynamic load management?</t>
  </si>
  <si>
    <t>How many Amps would be required to serve this number of spaces with this combination of 20A and 40A EV charging outlets?</t>
  </si>
  <si>
    <t>How many EV Charging Outlets, including both Low Power (20 amp) and Level 2 (40 amp) do you plan to install at the time of initial building occupancy?</t>
  </si>
  <si>
    <t>Background doc - Stakeholder Section</t>
  </si>
  <si>
    <t>The project’s EV charging investment strategy for vehicle stalls during the building design phase has been the responsibility of:</t>
  </si>
  <si>
    <t>If not the Driver, who will be responsible to pay for the electricity used by the EV chargers?</t>
  </si>
  <si>
    <t>Nameplate rating of panel (Voltage, Amps and Phase and Spaces) is noted</t>
  </si>
  <si>
    <t>Will building meet or exceed minimum SF EV Readiness code requirements?</t>
  </si>
  <si>
    <t>EV Action Plan Inputs - First Steps and Future Vision for EV Charging</t>
  </si>
  <si>
    <t>What is your Project's Name?</t>
  </si>
  <si>
    <r>
      <t xml:space="preserve">Step 2: </t>
    </r>
    <r>
      <rPr>
        <sz val="11"/>
        <color theme="1"/>
        <rFont val="Franklin Gothic Book"/>
        <family val="2"/>
      </rPr>
      <t>Open the SFPUC EV Charge SF Workbook, read the instruction page for step-by-step instructions - you are here!</t>
    </r>
  </si>
  <si>
    <t>Overview of Workbook Tabs</t>
  </si>
  <si>
    <t>Incentives</t>
  </si>
  <si>
    <r>
      <rPr>
        <sz val="12"/>
        <color theme="1"/>
        <rFont val="Franklin Gothic Book"/>
        <family val="2"/>
      </rPr>
      <t xml:space="preserve">For an additional 10% of the vehicle stalls, the electrical service must be sized to provide the capacity (i.e., amps) for a future dedicated 40 amp, 208/240V circuit to each vehicle stall, AND the electrical panel(s) must be sized to support the future installation of 2-pole breakers for each of those circuits. </t>
    </r>
    <r>
      <rPr>
        <sz val="12"/>
        <rFont val="Franklin Gothic Book"/>
        <family val="2"/>
      </rPr>
      <t xml:space="preserve">
Note: circuit breaker installation not required for the additional 10% of vehicle stalls. </t>
    </r>
  </si>
  <si>
    <r>
      <rPr>
        <sz val="14"/>
        <color theme="1"/>
        <rFont val="Franklin Gothic Book"/>
        <family val="2"/>
      </rPr>
      <t>To serve these EV charging outlets, sites may use the remaining electrical panel spaces reserved (by code) for EV charging, AND/OR provide more electrical panels and fully wired branch circuits.</t>
    </r>
    <r>
      <rPr>
        <sz val="14"/>
        <rFont val="Franklin Gothic Book"/>
        <family val="2"/>
      </rPr>
      <t xml:space="preserve">  
</t>
    </r>
    <r>
      <rPr>
        <sz val="14"/>
        <color theme="1"/>
        <rFont val="Franklin Gothic Book"/>
        <family val="2"/>
      </rPr>
      <t>Note: Level 2 EV-Ready infrastructure is ideal where a future Level 2 EVSE is planned.</t>
    </r>
  </si>
  <si>
    <r>
      <rPr>
        <sz val="11"/>
        <color theme="1"/>
        <rFont val="Franklin Gothic Book"/>
        <family val="2"/>
      </rPr>
      <t xml:space="preserve">See </t>
    </r>
    <r>
      <rPr>
        <u/>
        <sz val="11"/>
        <color theme="10"/>
        <rFont val="Franklin Gothic Book"/>
        <family val="2"/>
      </rPr>
      <t xml:space="preserve">www.sfpuc.org/evchargesf </t>
    </r>
    <r>
      <rPr>
        <sz val="11"/>
        <color theme="1"/>
        <rFont val="Franklin Gothic Book"/>
        <family val="2"/>
      </rPr>
      <t>for "Background for Making Your EV Action Plan" - Overview Resources (esp. CALeVIP)</t>
    </r>
  </si>
  <si>
    <r>
      <t xml:space="preserve">How many Level 2 EV charging do you plan to install </t>
    </r>
    <r>
      <rPr>
        <b/>
        <sz val="11"/>
        <rFont val="Franklin Gothic Book"/>
        <family val="2"/>
      </rPr>
      <t>in the future</t>
    </r>
    <r>
      <rPr>
        <sz val="11"/>
        <rFont val="Franklin Gothic Book"/>
        <family val="2"/>
      </rPr>
      <t>?</t>
    </r>
  </si>
  <si>
    <r>
      <t xml:space="preserve">How many EV Charging Outlets (both low power 20 amp and EV ready 40 amp) do you plan to install </t>
    </r>
    <r>
      <rPr>
        <b/>
        <sz val="11"/>
        <color theme="1"/>
        <rFont val="Franklin Gothic Book"/>
        <family val="2"/>
      </rPr>
      <t>in the future</t>
    </r>
    <r>
      <rPr>
        <sz val="11"/>
        <color theme="1"/>
        <rFont val="Franklin Gothic Book"/>
        <family val="2"/>
      </rPr>
      <t>?</t>
    </r>
  </si>
  <si>
    <r>
      <t xml:space="preserve">Considering these and other factors, </t>
    </r>
    <r>
      <rPr>
        <b/>
        <sz val="11"/>
        <rFont val="Franklin Gothic Book"/>
        <family val="2"/>
      </rPr>
      <t>in the construction phase</t>
    </r>
    <r>
      <rPr>
        <sz val="11"/>
        <rFont val="Franklin Gothic Book"/>
        <family val="2"/>
      </rPr>
      <t xml:space="preserve">, the site's general strategy for EV charger development is: </t>
    </r>
  </si>
  <si>
    <r>
      <t xml:space="preserve">The site's </t>
    </r>
    <r>
      <rPr>
        <b/>
        <sz val="11"/>
        <rFont val="Franklin Gothic Book"/>
        <family val="2"/>
      </rPr>
      <t>post-construction</t>
    </r>
    <r>
      <rPr>
        <sz val="11"/>
        <rFont val="Franklin Gothic Book"/>
        <family val="2"/>
      </rPr>
      <t xml:space="preserve"> general strategy for EV charger development is: </t>
    </r>
  </si>
  <si>
    <t>Stakeholders</t>
  </si>
  <si>
    <r>
      <t xml:space="preserve">Level 2 EV Chargers (EVSE) Installed   </t>
    </r>
    <r>
      <rPr>
        <sz val="12"/>
        <rFont val="Franklin Gothic Book"/>
        <family val="2"/>
      </rPr>
      <t xml:space="preserve"> (Code minimum: 0)</t>
    </r>
  </si>
  <si>
    <r>
      <t xml:space="preserve">Additional Charger Ports   </t>
    </r>
    <r>
      <rPr>
        <sz val="12"/>
        <rFont val="Franklin Gothic Book"/>
        <family val="2"/>
      </rPr>
      <t xml:space="preserve"> (Code minimum: 0)</t>
    </r>
  </si>
  <si>
    <r>
      <t xml:space="preserve">EV Charging Outlets    </t>
    </r>
    <r>
      <rPr>
        <sz val="12"/>
        <rFont val="Franklin Gothic Book"/>
        <family val="2"/>
      </rPr>
      <t xml:space="preserve">   (Code minimum: 0; excludes code-required circuits)</t>
    </r>
  </si>
  <si>
    <r>
      <t xml:space="preserve">Conduit for Future EV Branch Circuits </t>
    </r>
    <r>
      <rPr>
        <sz val="12"/>
        <rFont val="Franklin Gothic Book"/>
        <family val="2"/>
      </rPr>
      <t xml:space="preserve">       (Code minimum: 0)</t>
    </r>
  </si>
  <si>
    <t>EV-Ready Code Requirements</t>
  </si>
  <si>
    <t>SF EV-Ready Code Requirements</t>
  </si>
  <si>
    <t>Condo/ Co-op</t>
  </si>
  <si>
    <t>Multi-dwelling</t>
  </si>
  <si>
    <t>Commercial / Industrial</t>
  </si>
  <si>
    <t>Owned</t>
  </si>
  <si>
    <t>Rented</t>
  </si>
  <si>
    <t>Property Owner</t>
  </si>
  <si>
    <t>Tenant</t>
  </si>
  <si>
    <t>Other</t>
  </si>
  <si>
    <t>Maybe</t>
  </si>
  <si>
    <t>Future-proof building</t>
  </si>
  <si>
    <t>Parking Customer Request</t>
  </si>
  <si>
    <t>Policy</t>
  </si>
  <si>
    <t>Potential Revenue Generation</t>
  </si>
  <si>
    <t>Private</t>
  </si>
  <si>
    <t>Mixed Private/Public</t>
  </si>
  <si>
    <t>Access Controlled</t>
  </si>
  <si>
    <t>Valet</t>
  </si>
  <si>
    <r>
      <rPr>
        <sz val="14"/>
        <color theme="1"/>
        <rFont val="Franklin Gothic Book"/>
        <family val="2"/>
      </rPr>
      <t xml:space="preserve">$2,000 per EVSE for the first 10% of vehicle stalls; and $3,000 per EVSE beyond the first 10% of stalls (Market Rate projects).                                                                                
$2,400 per EVSE for the first 10% of vehicle stalls; $3,600 per EVSE beyond the first 10% (Affordable Housing projects).                               
Townhomes/ Duplexes: $1,000 per EVSE; $1 200 per EVSE (Affordable Housing).
A "dual port" EVSE that is supported by </t>
    </r>
    <r>
      <rPr>
        <u/>
        <sz val="14"/>
        <color theme="1"/>
        <rFont val="Franklin Gothic Book"/>
        <family val="2"/>
      </rPr>
      <t>two</t>
    </r>
    <r>
      <rPr>
        <sz val="14"/>
        <color theme="1"/>
        <rFont val="Franklin Gothic Book"/>
        <family val="2"/>
      </rPr>
      <t xml:space="preserve"> 40-amp circuits counts as two EVSEs for this incentive. Where two or more EVSE are "circuit sharing," i.e., where all the ports all share a single 40-amp circuit, the first port qualifies for this EVSE incentive and the additional charger ports qualify for the "Additional Port" incentive in the row below. 
Reference Handbook section 7.1.1 or the Definitions tab for more details.</t>
    </r>
  </si>
  <si>
    <t xml:space="preserve">Please fill in information in the shaded cells below as it pertains to your project. The Workbook will use this information to determine certain code requirements under San Francisco's EV Readiness code requirements and to estimate incentives. 
Note: For cells with a drop down menu, please select the most applicable answer choice from the list.
</t>
  </si>
  <si>
    <r>
      <rPr>
        <b/>
        <sz val="6"/>
        <rFont val="Franklin Gothic Book"/>
        <family val="2"/>
      </rPr>
      <t xml:space="preserve">
</t>
    </r>
    <r>
      <rPr>
        <b/>
        <sz val="11"/>
        <rFont val="Franklin Gothic Book"/>
        <family val="2"/>
      </rPr>
      <t>4. Planned space for electrical panelboards and conduit pathways for future branch circuits, including sleeves or raceways through floors and walls.</t>
    </r>
  </si>
  <si>
    <t>Quantity*</t>
  </si>
  <si>
    <t>* All quantities listed are derived calculated based on "Customer Info" Tab, Cell#C32.</t>
  </si>
  <si>
    <t xml:space="preserve">Use the shaded cells on this tab to estimate your EV Charge SF program incentive. </t>
  </si>
  <si>
    <t xml:space="preserve">How many EVSE ports would be required?
The vendor may provide dual ports but each port will require a 40A wire. 
</t>
  </si>
  <si>
    <r>
      <rPr>
        <b/>
        <sz val="16"/>
        <color rgb="FF000000"/>
        <rFont val="Franklin Gothic Book"/>
        <family val="2"/>
      </rPr>
      <t>How many 2-pole 40A breakers in the panel world be required?</t>
    </r>
    <r>
      <rPr>
        <b/>
        <sz val="14"/>
        <color rgb="FF000000"/>
        <rFont val="Franklin Gothic Book"/>
        <family val="2"/>
      </rPr>
      <t xml:space="preserve">
May require added panels in the electrical room or elsewhere.</t>
    </r>
  </si>
  <si>
    <t>Which firm/ entity is responsible for determining the allocation of EV Charging to vehicle stalls during construction?</t>
  </si>
  <si>
    <t>First Steps and Future Vision for EV Charging</t>
  </si>
  <si>
    <r>
      <rPr>
        <sz val="11"/>
        <color theme="1"/>
        <rFont val="Franklin Gothic Book"/>
        <family val="2"/>
      </rPr>
      <t>Learn more about how Load Management can help you maximize the number of vehicles that can be charged at your property without increasing the dedicated electrical capacity that is required by the SF EV Readiness code.</t>
    </r>
    <r>
      <rPr>
        <sz val="11"/>
        <rFont val="Franklin Gothic Book"/>
        <family val="2"/>
      </rPr>
      <t xml:space="preserve"> 
</t>
    </r>
    <r>
      <rPr>
        <b/>
        <i/>
        <sz val="11"/>
        <rFont val="Franklin Gothic Book"/>
        <family val="2"/>
      </rPr>
      <t xml:space="preserve">To learn more about how you can utilize load management strategies to expand your EV charging capabilities on your specific project, please contact the EV Charge SF program team and inquire about free technical assistance. </t>
    </r>
  </si>
  <si>
    <r>
      <t xml:space="preserve">Resources to learn more
</t>
    </r>
    <r>
      <rPr>
        <sz val="12"/>
        <rFont val="Franklin Gothic Medium"/>
        <family val="2"/>
      </rPr>
      <t>(* = in development)</t>
    </r>
  </si>
  <si>
    <t>SF Ord. Fact Sheet*; EV Access Fact Sheet*</t>
  </si>
  <si>
    <t>Background doc - Electrical Section; Electrical Fact Sheet*; Load Mgmt Fact Sheet*</t>
  </si>
  <si>
    <t>Background doc - Ownership Section, especially Figure 1 (Network Considerations); also Owner-Billling Fact Sheet* and Charging Fact Sheet*</t>
  </si>
  <si>
    <r>
      <rPr>
        <b/>
        <sz val="12"/>
        <rFont val="Franklin Gothic Medium"/>
        <family val="2"/>
      </rPr>
      <t>Input your answers here</t>
    </r>
    <r>
      <rPr>
        <sz val="12"/>
        <rFont val="Franklin Gothic Medium"/>
        <family val="2"/>
      </rPr>
      <t xml:space="preserve">
Note: White Cells are AutoFilled from prior Tabs</t>
    </r>
  </si>
  <si>
    <r>
      <t xml:space="preserve">This tab </t>
    </r>
    <r>
      <rPr>
        <b/>
        <sz val="14"/>
        <color theme="1"/>
        <rFont val="Franklin Gothic Book"/>
        <family val="2"/>
      </rPr>
      <t>uses inputs from the Customer Info tab</t>
    </r>
    <r>
      <rPr>
        <sz val="14"/>
        <color theme="1"/>
        <rFont val="Franklin Gothic Book"/>
        <family val="2"/>
      </rPr>
      <t xml:space="preserve"> to show your minimum code requirements under the SF EV Readiness Ordinance, including: total EV-dedicated electrical capacity; the number of vehicle stalls required to have EV-Ready circuits; and the number of spare 2-pole breaker spaces to have in installed electrical panels. </t>
    </r>
  </si>
  <si>
    <t>Enter Quantity of EVSEs being installed in Townhomes/ Duplex/ Single Family dwelling, in this row only.  HERE ---&gt;</t>
  </si>
  <si>
    <r>
      <t xml:space="preserve">Market Rate or Affordable Housing
</t>
    </r>
    <r>
      <rPr>
        <sz val="14"/>
        <rFont val="Franklin Gothic Book"/>
        <family val="2"/>
      </rPr>
      <t>Total incentives are capped at $120,000 for affordable housing projects and $100,000 for market rate housing and commercial projects</t>
    </r>
  </si>
  <si>
    <t>If updating total # of vehicle stalls, please use Customer Information tab</t>
  </si>
  <si>
    <t>Total Number of Vehicle Stalls</t>
  </si>
  <si>
    <t>Use this tab to learn more about options to extend the available EV-amps to serve more EVSE. Note: # Veh. Stalls is from Customer Info Tab.</t>
  </si>
  <si>
    <r>
      <t xml:space="preserve">How many 2-pole 40A breakers in the panel would be required? </t>
    </r>
    <r>
      <rPr>
        <b/>
        <sz val="14"/>
        <color theme="1"/>
        <rFont val="Franklin Gothic Book"/>
        <family val="2"/>
      </rPr>
      <t>Note: Scenario requires "spaces" for 2-pole breakers for each Level 1 Outlet in Cell #L13.</t>
    </r>
  </si>
  <si>
    <t xml:space="preserve">How many 2-pole 40A breakers in the panel would be required? </t>
  </si>
  <si>
    <t>If using Level 2 EVSE with two ports, how many TOTAL parking stalls can be served using the Code-mandated Amps, and PowerShare technology</t>
  </si>
  <si>
    <t>EV-Ready Code required EV-dedicated electrical service capacity (Amperage)</t>
  </si>
  <si>
    <t>EV-Ready Code required # of vehicle stalls with EV Ready Circuits (Amps, Breaker, Wiring, Conduit)</t>
  </si>
  <si>
    <t>EV-Ready Code required # of additional 40-amp circuit breaker spaces in electrical panels</t>
  </si>
  <si>
    <r>
      <t xml:space="preserve">Step 1: </t>
    </r>
    <r>
      <rPr>
        <sz val="11"/>
        <color theme="1"/>
        <rFont val="Franklin Gothic Book"/>
        <family val="2"/>
      </rPr>
      <t>Read the EV Charge SF Handbook to understand program, the EV Readiness code, and program details. Resources are available on www.sfpuc.org/evchargesf</t>
    </r>
  </si>
  <si>
    <t xml:space="preserve">Once you have filled out all the information in the 'Customer Information' tab, proceed to the 'Code Requirements' tab. The 'Code Requirements' tab provides a simplified summary of how San Francisco's EV Readiness code provisions apply to your project, based primarily on your project size.  </t>
  </si>
  <si>
    <t>Now that you know what the SF EV Readiness code requires, the Program 'Incentives' tab can help you estimate the incentive the EV Charge SF program will pay for EV charging equipment and infrastructure that exceed the code.  Incentive estimates are based on the quantities of charging stations (EVSEs), EV charger outlets, and conduit you plan to install.</t>
  </si>
  <si>
    <t xml:space="preserve">San Francisco EV Readiness Ordinance Overview </t>
  </si>
  <si>
    <t>Total Stalls Incentivized</t>
  </si>
  <si>
    <r>
      <rPr>
        <sz val="14"/>
        <color theme="1"/>
        <rFont val="Franklin Gothic Book"/>
        <family val="2"/>
      </rPr>
      <t xml:space="preserve">$1,000 per "upgradable" 20A Outlet (Low Power EVSE) at the vehicle stall, including a dedicated 20A branch circuit, conduit sized for future 40A wiring, and space in the electrical panel sized for a future 40A breaker.
AND/OR
$1,000 per Level 2 EV-Ready infrastructure, including 40A branch circuit and outlets (or J-box) for vehicle stalls that are </t>
    </r>
    <r>
      <rPr>
        <b/>
        <sz val="14"/>
        <color theme="1"/>
        <rFont val="Franklin Gothic Book"/>
        <family val="2"/>
      </rPr>
      <t>beyond the required 10% of EV-Ready stalls.</t>
    </r>
    <r>
      <rPr>
        <sz val="14"/>
        <color theme="1"/>
        <rFont val="Franklin Gothic Book"/>
        <family val="2"/>
      </rPr>
      <t xml:space="preserve">
</t>
    </r>
    <r>
      <rPr>
        <sz val="14"/>
        <rFont val="Franklin Gothic Book"/>
        <family val="2"/>
      </rPr>
      <t>Affordable housing projects receive $1,200 per outlet.
Referenc</t>
    </r>
    <r>
      <rPr>
        <sz val="14"/>
        <color theme="1"/>
        <rFont val="Franklin Gothic Book"/>
        <family val="2"/>
      </rPr>
      <t>e Handbook</t>
    </r>
    <r>
      <rPr>
        <sz val="14"/>
        <rFont val="Franklin Gothic Book"/>
        <family val="2"/>
      </rPr>
      <t xml:space="preserve"> section 7.1.2a or the Definitions tab for more details. </t>
    </r>
  </si>
  <si>
    <t>Quantity of "Beyond Code" Equipment*</t>
  </si>
  <si>
    <r>
      <t>$500 per additional port (up to 3) for which the EVSE and all additional ports are served by same 40-amp circuit. The first port receives the Level 2 EVSE incentive in the above row.
Affordable housing projects receive $600 per port. 
Ref.</t>
    </r>
    <r>
      <rPr>
        <sz val="14"/>
        <color theme="1"/>
        <rFont val="Franklin Gothic Book"/>
        <family val="2"/>
      </rPr>
      <t xml:space="preserve"> Handbook</t>
    </r>
    <r>
      <rPr>
        <sz val="14"/>
        <rFont val="Franklin Gothic Book"/>
        <family val="2"/>
      </rPr>
      <t xml:space="preserve"> section 7.1.1 or the Definitions tab for more details.</t>
    </r>
  </si>
  <si>
    <r>
      <t xml:space="preserve">$250 to install conduit for Future EV Branch Circuits per vehicle stall </t>
    </r>
    <r>
      <rPr>
        <b/>
        <sz val="14"/>
        <rFont val="Franklin Gothic Book"/>
        <family val="2"/>
      </rPr>
      <t>beyond the required 10% of EV-Ready stalls.</t>
    </r>
    <r>
      <rPr>
        <sz val="14"/>
        <rFont val="Franklin Gothic Book"/>
        <family val="2"/>
      </rPr>
      <t xml:space="preserve">
Affordable housing receives $300/ vehicle stall (above code min.).
Reference section 7.1.2b or the Definitions tab for more details. </t>
    </r>
  </si>
  <si>
    <t xml:space="preserve">Conduit to run from the planned electrical panel location to a terminating junction box at each vehicle stall with a future EVSE. Size conduit for wiring sufficient for Level 2 EVSE.  
Such  conduits will make it easy to deploy any EV charging in the future. </t>
  </si>
  <si>
    <t>* Reminder: Quantities listed must be for "beyond code" equipment. I.e., please exclude from this quantity any EV-Ready circuits and conduit being installed to meet minimum code. Also, non-shaded cells are from earlier customer inputs, or are calculations of the Workbook.  Note: if shaded cells contain sample inputs, please overwrite or delete.</t>
  </si>
  <si>
    <t>Dual Port</t>
  </si>
  <si>
    <t>Scenario B</t>
  </si>
  <si>
    <t>Scenario C</t>
  </si>
  <si>
    <t>Scenario D</t>
  </si>
  <si>
    <t>Scenario E</t>
  </si>
  <si>
    <t>Revision History</t>
  </si>
  <si>
    <t>Version</t>
  </si>
  <si>
    <t>Updates Description</t>
  </si>
  <si>
    <t>Date</t>
  </si>
  <si>
    <t xml:space="preserve">Original </t>
  </si>
  <si>
    <t>Property Type (e.g., multi-dwelling, commercial, mixed-use)</t>
  </si>
  <si>
    <t>Please submit an electrical single line for the property</t>
  </si>
  <si>
    <t>SFPUC USE ONLY</t>
  </si>
  <si>
    <t>Updated Incentives tab to specify incentives are awarded to above code infrastructure.
Included scenario planning options in the Incentives tab.
Corrected data validation in customer information, incentives and EV Action Plan tabs.</t>
  </si>
  <si>
    <t xml:space="preserve">Using dynamic load management requires you to only consider how many stalls to wire for charging. The system will communicate with the vehicles and the electrical system and dynamically alter the amount of energy the vehicle is provided based on real-time requests.  For planning purposes it is assumed that the wires to each parking stall will be 240v 40A as this may be the max electrical service that would be provided in any charging session.  This is the most effective use of code-required power for the property.
This technology would qualify for Level 2 EVSE incentives for each EVSE installed. </t>
  </si>
  <si>
    <r>
      <t xml:space="preserve">Updated code requirements 'The Electrical Panel must have ELECTRICAL CAPACITY and SPACE for BREAKERS </t>
    </r>
    <r>
      <rPr>
        <b/>
        <sz val="11"/>
        <rFont val="Calibri"/>
        <family val="2"/>
        <scheme val="minor"/>
      </rPr>
      <t>AND an Conduit</t>
    </r>
    <r>
      <rPr>
        <sz val="11"/>
        <rFont val="Calibri"/>
        <family val="2"/>
        <scheme val="minor"/>
      </rPr>
      <t xml:space="preserve"> for an additional 10% vehicle stalls</t>
    </r>
  </si>
  <si>
    <t>The Electrical Panel must have ELECTRICAL CAPACITY, SPACE for BREAKERS, AND Conduit for an additional 10% vehicle stalls</t>
  </si>
  <si>
    <t xml:space="preserve">2021 - 2024 EV Charge SF Incentive Program </t>
  </si>
  <si>
    <r>
      <t>The EV Charge SF Program supports Hetch Hetchy and</t>
    </r>
    <r>
      <rPr>
        <sz val="11"/>
        <color rgb="FFFF0000"/>
        <rFont val="Franklin Gothic Book"/>
        <family val="2"/>
      </rPr>
      <t xml:space="preserve"> </t>
    </r>
    <r>
      <rPr>
        <sz val="11"/>
        <color theme="1"/>
        <rFont val="Franklin Gothic Book"/>
        <family val="2"/>
      </rPr>
      <t>CleanPowerSF customers who install electric vehicle (EV) chargers and related infrastructure in their new residential or commercial buildings. The Program offers financial incentives and technical support for new construction customers to exceed the code requirements adopted as part of San Francisco’s EV Readiness Ordinance, and to help recently built buildings to add EV charging to their properties. Program participants use this workbook to:
1) clarify their project's requirements under San Francisco's EV Readiness code.
2) estimate their incentive request by selecting quantities of EV charging equipment which exceed code minimums.
3) review scenarios that illustrate the power of "load management" to stretch electrical capacity to serve more vehicle stalls.
4) document the project's vision for supporting EV charging through the EV Action Plan Template.
For information and assistance to complete this Workbook and EV Action Plan Template, see www.sfpuc.org/evchargesf - or contact program staff to ask about free technical assistance.</t>
    </r>
  </si>
  <si>
    <r>
      <t>The EV Action Plan empowers customers to think long-term about their EV charging strategy for the site. EV Charge SF incentives can decrease the cost of essential infrastructure that will be required for both near-term and future EV charger installations.
Free techni</t>
    </r>
    <r>
      <rPr>
        <sz val="11"/>
        <color theme="1"/>
        <rFont val="Franklin Gothic Book"/>
        <family val="2"/>
      </rPr>
      <t xml:space="preserve">cal assistance is available to help you plan how to use those incentives, and to document your vision for how the site will provide EV charging in the future. </t>
    </r>
  </si>
  <si>
    <t>Removed EV Action Plan Incentive</t>
  </si>
  <si>
    <r>
      <t>Open the 'Customer Information' tab and fill in project information in the</t>
    </r>
    <r>
      <rPr>
        <b/>
        <sz val="11"/>
        <color theme="1"/>
        <rFont val="Franklin Gothic Book"/>
        <family val="2"/>
      </rPr>
      <t xml:space="preserve"> shaded cells</t>
    </r>
    <r>
      <rPr>
        <sz val="11"/>
        <color theme="1"/>
        <rFont val="Franklin Gothic Book"/>
        <family val="2"/>
      </rPr>
      <t xml:space="preserve">. It is important to fill in all cells, even if the answer is "TBD". The shaded cells contain important customer information that will be used to calculate incentives, code requirements and more. The </t>
    </r>
    <r>
      <rPr>
        <b/>
        <sz val="11"/>
        <color theme="1"/>
        <rFont val="Franklin Gothic Book"/>
        <family val="2"/>
      </rPr>
      <t>white cells</t>
    </r>
    <r>
      <rPr>
        <sz val="11"/>
        <color theme="1"/>
        <rFont val="Franklin Gothic Book"/>
        <family val="2"/>
      </rPr>
      <t xml:space="preserve"> display information previously entered by you, or automatically calculated by the Workbook. </t>
    </r>
  </si>
  <si>
    <t xml:space="preserve">EV-Dedicated Electrical Capacity Required </t>
  </si>
  <si>
    <t xml:space="preserve">The San Francisco EV ordinance requires "EV-ready" full electrical circuits for 10% of total vehicle stalls.  This means that 10% of the parking stalls have a full circuit 240V 40A panel breaker installed that is wired from the electrical room to a vehicle stall.  The wiring does not have to terminate in a charging station but can be pulled to a jbox or outlet. Being EV-ready allows you to easily install an EV charger in the future.    </t>
  </si>
  <si>
    <r>
      <t xml:space="preserve">$2,000 per EVSE for the first 10% of vehicle stalls; and $3,000 per EVSE beyond the first 10% of stalls (Market Rate projects).                                                                                
$2,400 per EVSE for the first 10% of vehicle stalls; $3,600 per EVSE beyond the first 10% (Affordable Housing projects).                               
Townhomes/ Duplexes: $1,000 per EVSE; $1 200 per EVSE (Affordable Housing).
A "dual port" EVSE that is supported by </t>
    </r>
    <r>
      <rPr>
        <u/>
        <sz val="14"/>
        <color theme="1"/>
        <rFont val="Franklin Gothic Book"/>
        <family val="2"/>
      </rPr>
      <t>two</t>
    </r>
    <r>
      <rPr>
        <sz val="14"/>
        <color theme="1"/>
        <rFont val="Franklin Gothic Book"/>
        <family val="2"/>
      </rPr>
      <t xml:space="preserve"> 40-amp circuits counts as two EVSEs for this incentive. Where two or more EVSE are "circuit sharing," i.e., where all the ports all share a single 40-amp circuit, the first port qualifies for this EVSE incentive and the additional charger ports qualify for the "Additional Port" incentive in the row below. 
Reference Handbook section 7.1.1 or the Definitions tab for more details.</t>
    </r>
  </si>
  <si>
    <t xml:space="preserve">Overview   </t>
  </si>
  <si>
    <r>
      <t>T</t>
    </r>
    <r>
      <rPr>
        <sz val="12"/>
        <color theme="1"/>
        <rFont val="Franklin Gothic Book"/>
        <family val="2"/>
      </rPr>
      <t xml:space="preserve">he San Francisco EV ordinance requires EV-dedicated </t>
    </r>
    <r>
      <rPr>
        <sz val="12"/>
        <rFont val="Franklin Gothic Book"/>
        <family val="2"/>
      </rPr>
      <t xml:space="preserve">electrical capacity </t>
    </r>
    <r>
      <rPr>
        <sz val="12"/>
        <color theme="1"/>
        <rFont val="Franklin Gothic Book"/>
        <family val="2"/>
      </rPr>
      <t xml:space="preserve">for the site to be sized for simultaneous Level 2 EVSE charging in 20% of total vehicle stalls. The electrical capacity for EV charging must be sized so that each of those vehicle stalls can be served by a 240V 40A service.  Thus, the load calculation is: 
# of stalls X 20% X 40 amps = EV Capacity Reqt.    
Given NEC 625 and SF City requirements it must be calculated and designed to provide the service as “dedicated and continuous” meaning that the load is not shared with any other devices on the property.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</si>
</sst>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quot;$&quot;#,##0"/>
  </numFmts>
  <fonts count="72" x14ac:knownFonts="1">
    <font>
      <sz val="11"/>
      <color theme="1"/>
      <name val="Calibri"/>
      <family val="2"/>
      <scheme val="minor"/>
    </font>
    <font>
      <u/>
      <sz val="11"/>
      <color theme="10"/>
      <name val="Calibri"/>
      <family val="2"/>
      <scheme val="minor"/>
    </font>
    <font>
      <b/>
      <sz val="12"/>
      <name val="Calibri"/>
      <family val="2"/>
      <scheme val="minor"/>
    </font>
    <font>
      <sz val="9"/>
      <color indexed="81"/>
      <name val="Tahoma"/>
      <family val="2"/>
    </font>
    <font>
      <sz val="9"/>
      <color rgb="FF000000"/>
      <name val="Tahoma"/>
      <family val="2"/>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4"/>
      <name val="Calibri"/>
      <family val="2"/>
      <scheme val="minor"/>
    </font>
    <font>
      <sz val="11"/>
      <color rgb="FFFF0000"/>
      <name val="Calibri"/>
      <family val="2"/>
      <scheme val="minor"/>
    </font>
    <font>
      <b/>
      <sz val="11"/>
      <color rgb="FFFF0000"/>
      <name val="Calibri"/>
      <family val="2"/>
      <scheme val="minor"/>
    </font>
    <font>
      <b/>
      <sz val="9"/>
      <color indexed="81"/>
      <name val="Tahoma"/>
      <family val="2"/>
    </font>
    <font>
      <sz val="18"/>
      <name val="Franklin Gothic Book"/>
      <family val="2"/>
    </font>
    <font>
      <sz val="11"/>
      <color theme="1"/>
      <name val="Franklin Gothic Book"/>
      <family val="2"/>
    </font>
    <font>
      <sz val="11"/>
      <color rgb="FFC00000"/>
      <name val="Franklin Gothic Book"/>
      <family val="2"/>
    </font>
    <font>
      <sz val="11"/>
      <name val="Franklin Gothic Book"/>
      <family val="2"/>
    </font>
    <font>
      <b/>
      <sz val="11"/>
      <color theme="1"/>
      <name val="Franklin Gothic Book"/>
      <family val="2"/>
    </font>
    <font>
      <b/>
      <sz val="16"/>
      <name val="Franklin Gothic Book"/>
      <family val="2"/>
    </font>
    <font>
      <sz val="12"/>
      <color theme="1"/>
      <name val="Franklin Gothic Book"/>
      <family val="2"/>
    </font>
    <font>
      <b/>
      <sz val="18"/>
      <color theme="1"/>
      <name val="Franklin Gothic Medium"/>
      <family val="2"/>
    </font>
    <font>
      <b/>
      <sz val="11"/>
      <name val="Franklin Gothic Book"/>
      <family val="2"/>
    </font>
    <font>
      <sz val="12"/>
      <name val="Franklin Gothic Book"/>
      <family val="2"/>
    </font>
    <font>
      <b/>
      <sz val="12"/>
      <name val="Franklin Gothic Book"/>
      <family val="2"/>
    </font>
    <font>
      <b/>
      <i/>
      <sz val="11"/>
      <name val="Franklin Gothic Book"/>
      <family val="2"/>
    </font>
    <font>
      <b/>
      <sz val="12"/>
      <color theme="1"/>
      <name val="Franklin Gothic Book"/>
      <family val="2"/>
    </font>
    <font>
      <b/>
      <sz val="14"/>
      <color theme="1"/>
      <name val="Franklin Gothic Book"/>
      <family val="2"/>
    </font>
    <font>
      <b/>
      <sz val="14"/>
      <name val="Franklin Gothic Book"/>
      <family val="2"/>
    </font>
    <font>
      <b/>
      <sz val="10"/>
      <name val="Franklin Gothic Book"/>
      <family val="2"/>
    </font>
    <font>
      <sz val="20"/>
      <name val="Franklin Gothic Book"/>
      <family val="2"/>
    </font>
    <font>
      <b/>
      <i/>
      <sz val="16"/>
      <name val="Franklin Gothic Book"/>
      <family val="2"/>
    </font>
    <font>
      <sz val="16"/>
      <name val="Franklin Gothic Book"/>
      <family val="2"/>
    </font>
    <font>
      <u/>
      <sz val="16"/>
      <name val="Franklin Gothic Book"/>
      <family val="2"/>
    </font>
    <font>
      <b/>
      <sz val="18"/>
      <name val="Franklin Gothic Medium"/>
      <family val="2"/>
    </font>
    <font>
      <sz val="14"/>
      <color theme="1"/>
      <name val="Franklin Gothic Book"/>
      <family val="2"/>
    </font>
    <font>
      <i/>
      <sz val="11"/>
      <name val="Franklin Gothic Book"/>
      <family val="2"/>
    </font>
    <font>
      <i/>
      <sz val="16"/>
      <name val="Franklin Gothic Book"/>
      <family val="2"/>
    </font>
    <font>
      <i/>
      <u/>
      <sz val="16"/>
      <name val="Franklin Gothic Book"/>
      <family val="2"/>
    </font>
    <font>
      <b/>
      <sz val="12"/>
      <name val="Franklin Gothic Medium"/>
      <family val="2"/>
    </font>
    <font>
      <i/>
      <sz val="12"/>
      <name val="Franklin Gothic Book"/>
      <family val="2"/>
    </font>
    <font>
      <sz val="14"/>
      <name val="Franklin Gothic Book"/>
      <family val="2"/>
    </font>
    <font>
      <i/>
      <sz val="18"/>
      <name val="Franklin Gothic Book"/>
      <family val="2"/>
    </font>
    <font>
      <sz val="10"/>
      <name val="Franklin Gothic Book"/>
      <family val="2"/>
    </font>
    <font>
      <sz val="14"/>
      <color rgb="FFFF0000"/>
      <name val="Franklin Gothic Book"/>
      <family val="2"/>
    </font>
    <font>
      <b/>
      <i/>
      <sz val="14"/>
      <name val="Franklin Gothic Book"/>
      <family val="2"/>
    </font>
    <font>
      <sz val="14"/>
      <color rgb="FFC00000"/>
      <name val="Franklin Gothic Book"/>
      <family val="2"/>
    </font>
    <font>
      <sz val="11"/>
      <color rgb="FFFF0000"/>
      <name val="Franklin Gothic Book"/>
      <family val="2"/>
    </font>
    <font>
      <sz val="11"/>
      <color theme="4"/>
      <name val="Franklin Gothic Book"/>
      <family val="2"/>
    </font>
    <font>
      <u/>
      <sz val="14"/>
      <color theme="1"/>
      <name val="Franklin Gothic Book"/>
      <family val="2"/>
    </font>
    <font>
      <b/>
      <sz val="24"/>
      <name val="Franklin Gothic Medium"/>
      <family val="2"/>
    </font>
    <font>
      <sz val="24"/>
      <color theme="1"/>
      <name val="Franklin Gothic Medium"/>
      <family val="2"/>
    </font>
    <font>
      <sz val="16"/>
      <color theme="1"/>
      <name val="Franklin Gothic Book"/>
      <family val="2"/>
    </font>
    <font>
      <sz val="16"/>
      <color rgb="FFFF0000"/>
      <name val="Franklin Gothic Book"/>
      <family val="2"/>
    </font>
    <font>
      <sz val="16"/>
      <color rgb="FF000000"/>
      <name val="Franklin Gothic Book"/>
      <family val="2"/>
    </font>
    <font>
      <b/>
      <sz val="16"/>
      <color theme="1"/>
      <name val="Franklin Gothic Book"/>
      <family val="2"/>
    </font>
    <font>
      <b/>
      <sz val="16"/>
      <color rgb="FF000000"/>
      <name val="Franklin Gothic Book"/>
      <family val="2"/>
    </font>
    <font>
      <u/>
      <sz val="11"/>
      <color theme="10"/>
      <name val="Franklin Gothic Book"/>
      <family val="2"/>
    </font>
    <font>
      <sz val="11"/>
      <name val="Franklin Gothic Medium"/>
      <family val="2"/>
    </font>
    <font>
      <sz val="12"/>
      <name val="Franklin Gothic Medium"/>
      <family val="2"/>
    </font>
    <font>
      <sz val="11"/>
      <color theme="1"/>
      <name val="Franklin Gothic Medium"/>
      <family val="2"/>
    </font>
    <font>
      <sz val="18"/>
      <color rgb="FFC00000"/>
      <name val="Franklin Gothic Medium"/>
      <family val="2"/>
    </font>
    <font>
      <b/>
      <sz val="12"/>
      <color theme="1"/>
      <name val="Franklin Gothic Medium"/>
      <family val="2"/>
    </font>
    <font>
      <sz val="12"/>
      <color rgb="FF000000"/>
      <name val="Franklin Gothic Book"/>
      <family val="2"/>
    </font>
    <font>
      <sz val="20"/>
      <name val="Calibri"/>
      <family val="2"/>
      <scheme val="minor"/>
    </font>
    <font>
      <b/>
      <sz val="6"/>
      <name val="Franklin Gothic Book"/>
      <family val="2"/>
    </font>
    <font>
      <b/>
      <sz val="14"/>
      <color rgb="FF000000"/>
      <name val="Franklin Gothic Book"/>
      <family val="2"/>
    </font>
    <font>
      <b/>
      <sz val="18"/>
      <color theme="1"/>
      <name val="Franklin Gothic Book"/>
      <family val="2"/>
    </font>
    <font>
      <sz val="20"/>
      <color theme="1"/>
      <name val="Franklin Gothic Book"/>
      <family val="2"/>
    </font>
    <font>
      <b/>
      <i/>
      <sz val="28"/>
      <color theme="1"/>
      <name val="Franklin Gothic Book"/>
      <family val="2"/>
    </font>
    <font>
      <sz val="16"/>
      <color theme="1"/>
      <name val="Franklin Gothic Book"/>
      <family val="2"/>
    </font>
    <font>
      <sz val="16"/>
      <name val="Franklin Gothic Book"/>
      <family val="2"/>
    </font>
    <font>
      <b/>
      <sz val="20"/>
      <name val="Franklin Gothic Book"/>
      <family val="2"/>
    </font>
  </fonts>
  <fills count="1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2" tint="-0.749992370372631"/>
        <bgColor indexed="64"/>
      </patternFill>
    </fill>
    <fill>
      <patternFill patternType="solid">
        <fgColor theme="5" tint="0.59999389629810485"/>
        <bgColor indexed="64"/>
      </patternFill>
    </fill>
    <fill>
      <patternFill patternType="solid">
        <fgColor rgb="FFFF99CC"/>
        <bgColor indexed="64"/>
      </patternFill>
    </fill>
    <fill>
      <patternFill patternType="solid">
        <fgColor rgb="FF99FFCC"/>
        <bgColor indexed="64"/>
      </patternFill>
    </fill>
    <fill>
      <patternFill patternType="solid">
        <fgColor rgb="FF9999FF"/>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0.14999847407452621"/>
        <bgColor indexed="64"/>
      </patternFill>
    </fill>
  </fills>
  <borders count="62">
    <border>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thick">
        <color auto="1"/>
      </top>
      <bottom/>
      <diagonal/>
    </border>
    <border>
      <left style="medium">
        <color indexed="64"/>
      </left>
      <right style="medium">
        <color indexed="64"/>
      </right>
      <top style="medium">
        <color indexed="64"/>
      </top>
      <bottom style="medium">
        <color indexed="64"/>
      </bottom>
      <diagonal/>
    </border>
    <border>
      <left/>
      <right style="thick">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auto="1"/>
      </right>
      <top/>
      <bottom style="thick">
        <color auto="1"/>
      </bottom>
      <diagonal/>
    </border>
    <border>
      <left style="medium">
        <color indexed="64"/>
      </left>
      <right style="medium">
        <color indexed="64"/>
      </right>
      <top/>
      <bottom/>
      <diagonal/>
    </border>
    <border>
      <left/>
      <right style="thick">
        <color auto="1"/>
      </right>
      <top style="thick">
        <color auto="1"/>
      </top>
      <bottom style="medium">
        <color indexed="64"/>
      </bottom>
      <diagonal/>
    </border>
    <border>
      <left style="thick">
        <color auto="1"/>
      </left>
      <right style="medium">
        <color indexed="64"/>
      </right>
      <top style="medium">
        <color indexed="64"/>
      </top>
      <bottom style="thin">
        <color indexed="64"/>
      </bottom>
      <diagonal/>
    </border>
    <border>
      <left/>
      <right/>
      <top/>
      <bottom style="thick">
        <color auto="1"/>
      </bottom>
      <diagonal/>
    </border>
    <border>
      <left style="thin">
        <color theme="0"/>
      </left>
      <right style="thin">
        <color theme="0"/>
      </right>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auto="1"/>
      </right>
      <top/>
      <bottom/>
      <diagonal/>
    </border>
    <border>
      <left style="thick">
        <color auto="1"/>
      </left>
      <right style="medium">
        <color indexed="64"/>
      </right>
      <top style="medium">
        <color indexed="64"/>
      </top>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ck">
        <color auto="1"/>
      </left>
      <right style="thick">
        <color auto="1"/>
      </right>
      <top/>
      <bottom style="thick">
        <color auto="1"/>
      </bottom>
      <diagonal/>
    </border>
    <border>
      <left style="thick">
        <color auto="1"/>
      </left>
      <right/>
      <top/>
      <bottom style="thick">
        <color auto="1"/>
      </bottom>
      <diagonal/>
    </border>
    <border>
      <left style="thin">
        <color theme="0"/>
      </left>
      <right style="thin">
        <color theme="0"/>
      </right>
      <top style="thin">
        <color theme="0"/>
      </top>
      <bottom/>
      <diagonal/>
    </border>
    <border>
      <left/>
      <right style="thin">
        <color indexed="64"/>
      </right>
      <top/>
      <bottom/>
      <diagonal/>
    </border>
    <border>
      <left/>
      <right style="thin">
        <color indexed="64"/>
      </right>
      <top style="medium">
        <color indexed="64"/>
      </top>
      <bottom/>
      <diagonal/>
    </border>
  </borders>
  <cellStyleXfs count="5">
    <xf numFmtId="0" fontId="0" fillId="0" borderId="0"/>
    <xf numFmtId="0" fontId="1"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371">
    <xf numFmtId="0" fontId="0" fillId="0" borderId="0" xfId="0"/>
    <xf numFmtId="0" fontId="6" fillId="0" borderId="0" xfId="0" applyFont="1"/>
    <xf numFmtId="0" fontId="16" fillId="2" borderId="0" xfId="0" applyFont="1" applyFill="1"/>
    <xf numFmtId="0" fontId="16" fillId="8" borderId="0" xfId="0" applyFont="1" applyFill="1" applyProtection="1">
      <protection locked="0"/>
    </xf>
    <xf numFmtId="0" fontId="16" fillId="2" borderId="0" xfId="0" applyFont="1" applyFill="1" applyProtection="1">
      <protection locked="0"/>
    </xf>
    <xf numFmtId="0" fontId="40" fillId="2" borderId="0" xfId="0" applyFont="1" applyFill="1" applyAlignment="1" applyProtection="1">
      <alignment vertical="center" wrapText="1"/>
      <protection locked="0"/>
    </xf>
    <xf numFmtId="0" fontId="22" fillId="2" borderId="0" xfId="0" applyFont="1" applyFill="1" applyAlignment="1" applyProtection="1">
      <alignment vertical="top" wrapText="1"/>
      <protection locked="0"/>
    </xf>
    <xf numFmtId="0" fontId="23" fillId="2" borderId="6" xfId="0" applyFont="1" applyFill="1" applyBorder="1" applyAlignment="1" applyProtection="1">
      <alignment horizontal="center" vertical="center" wrapText="1"/>
      <protection locked="0"/>
    </xf>
    <xf numFmtId="0" fontId="40" fillId="2" borderId="0" xfId="0" applyFont="1" applyFill="1" applyAlignment="1" applyProtection="1">
      <alignment wrapText="1"/>
      <protection locked="0"/>
    </xf>
    <xf numFmtId="0" fontId="23" fillId="2" borderId="17" xfId="0" applyFont="1" applyFill="1" applyBorder="1" applyAlignment="1" applyProtection="1">
      <alignment horizontal="center" vertical="center"/>
      <protection locked="0"/>
    </xf>
    <xf numFmtId="0" fontId="22" fillId="2" borderId="17" xfId="0" applyFont="1" applyFill="1" applyBorder="1" applyAlignment="1" applyProtection="1">
      <alignment horizontal="left" vertical="center"/>
      <protection locked="0"/>
    </xf>
    <xf numFmtId="0" fontId="22" fillId="2" borderId="17" xfId="0" applyFont="1" applyFill="1" applyBorder="1" applyAlignment="1" applyProtection="1">
      <alignment vertical="top"/>
      <protection locked="0"/>
    </xf>
    <xf numFmtId="0" fontId="23" fillId="2" borderId="52" xfId="0" applyFont="1" applyFill="1" applyBorder="1" applyAlignment="1" applyProtection="1">
      <alignment horizontal="center" vertical="center" wrapText="1"/>
      <protection locked="0"/>
    </xf>
    <xf numFmtId="0" fontId="42" fillId="0" borderId="0" xfId="0" applyFont="1" applyAlignment="1" applyProtection="1">
      <alignment wrapText="1"/>
      <protection locked="0"/>
    </xf>
    <xf numFmtId="0" fontId="43" fillId="2" borderId="0" xfId="0" applyFont="1" applyFill="1" applyAlignment="1" applyProtection="1">
      <alignment wrapText="1"/>
      <protection locked="0"/>
    </xf>
    <xf numFmtId="0" fontId="42" fillId="2" borderId="0" xfId="0" applyFont="1" applyFill="1" applyAlignment="1" applyProtection="1">
      <alignment wrapText="1"/>
      <protection locked="0"/>
    </xf>
    <xf numFmtId="0" fontId="23" fillId="2" borderId="6" xfId="0" quotePrefix="1" applyFont="1" applyFill="1" applyBorder="1" applyAlignment="1" applyProtection="1">
      <alignment horizontal="center" vertical="center" wrapText="1"/>
      <protection locked="0"/>
    </xf>
    <xf numFmtId="0" fontId="39" fillId="2" borderId="22" xfId="0" applyFont="1" applyFill="1" applyBorder="1" applyAlignment="1" applyProtection="1">
      <alignment horizontal="center" vertical="center" wrapText="1"/>
      <protection locked="0"/>
    </xf>
    <xf numFmtId="0" fontId="40" fillId="0" borderId="0" xfId="0" quotePrefix="1" applyFont="1" applyAlignment="1" applyProtection="1">
      <alignment wrapText="1"/>
      <protection locked="0"/>
    </xf>
    <xf numFmtId="0" fontId="23" fillId="2" borderId="17"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wrapText="1"/>
      <protection locked="0"/>
    </xf>
    <xf numFmtId="0" fontId="23" fillId="2" borderId="20" xfId="0" applyFont="1" applyFill="1" applyBorder="1" applyAlignment="1" applyProtection="1">
      <alignment horizontal="center" vertical="center" wrapText="1"/>
      <protection locked="0"/>
    </xf>
    <xf numFmtId="0" fontId="40" fillId="2" borderId="0" xfId="0" applyFont="1" applyFill="1" applyProtection="1">
      <protection locked="0"/>
    </xf>
    <xf numFmtId="0" fontId="22" fillId="2" borderId="0" xfId="0" applyFont="1" applyFill="1" applyAlignment="1" applyProtection="1">
      <alignment vertical="center" wrapText="1"/>
      <protection locked="0"/>
    </xf>
    <xf numFmtId="0" fontId="23" fillId="2" borderId="14" xfId="0" applyFont="1" applyFill="1" applyBorder="1" applyAlignment="1" applyProtection="1">
      <alignment horizontal="center" vertical="center"/>
      <protection locked="0"/>
    </xf>
    <xf numFmtId="0" fontId="23" fillId="2" borderId="14" xfId="0" applyFont="1" applyFill="1" applyBorder="1" applyAlignment="1" applyProtection="1">
      <alignment horizontal="center" vertical="center" wrapText="1"/>
      <protection locked="0"/>
    </xf>
    <xf numFmtId="0" fontId="22" fillId="2" borderId="0" xfId="0" applyFont="1" applyFill="1" applyAlignment="1" applyProtection="1">
      <alignment vertical="top"/>
      <protection locked="0"/>
    </xf>
    <xf numFmtId="0" fontId="22" fillId="2" borderId="0" xfId="0" applyFont="1" applyFill="1" applyProtection="1">
      <protection locked="0"/>
    </xf>
    <xf numFmtId="0" fontId="18" fillId="2" borderId="0" xfId="0" applyFont="1" applyFill="1" applyAlignment="1" applyProtection="1">
      <alignment horizontal="center" vertical="center"/>
      <protection locked="0"/>
    </xf>
    <xf numFmtId="0" fontId="23" fillId="0" borderId="0" xfId="0" applyFont="1" applyAlignment="1">
      <alignment horizontal="center" vertical="center"/>
    </xf>
    <xf numFmtId="0" fontId="19" fillId="0" borderId="0" xfId="0" applyFont="1"/>
    <xf numFmtId="0" fontId="25" fillId="0" borderId="0" xfId="0" applyFont="1"/>
    <xf numFmtId="0" fontId="62" fillId="0" borderId="0" xfId="0" applyFont="1"/>
    <xf numFmtId="0" fontId="23" fillId="2" borderId="33" xfId="0" applyFont="1" applyFill="1" applyBorder="1" applyAlignment="1" applyProtection="1">
      <alignment horizontal="left" vertical="center"/>
      <protection locked="0"/>
    </xf>
    <xf numFmtId="0" fontId="19" fillId="0" borderId="34" xfId="0" applyFont="1" applyBorder="1"/>
    <xf numFmtId="0" fontId="19" fillId="0" borderId="35" xfId="0" applyFont="1" applyBorder="1"/>
    <xf numFmtId="0" fontId="23" fillId="0" borderId="0" xfId="0" applyFont="1" applyAlignment="1">
      <alignment vertical="center"/>
    </xf>
    <xf numFmtId="0" fontId="23" fillId="2" borderId="36" xfId="0" applyFont="1" applyFill="1" applyBorder="1" applyAlignment="1" applyProtection="1">
      <alignment horizontal="left" vertical="center"/>
      <protection locked="0"/>
    </xf>
    <xf numFmtId="0" fontId="22" fillId="0" borderId="37" xfId="0" applyFont="1" applyBorder="1"/>
    <xf numFmtId="0" fontId="19" fillId="0" borderId="37" xfId="0" applyFont="1" applyBorder="1"/>
    <xf numFmtId="0" fontId="19" fillId="0" borderId="38" xfId="0" applyFont="1" applyBorder="1"/>
    <xf numFmtId="0" fontId="23" fillId="2" borderId="36" xfId="0" quotePrefix="1" applyFont="1" applyFill="1" applyBorder="1" applyAlignment="1" applyProtection="1">
      <alignment horizontal="left" vertical="center"/>
      <protection locked="0"/>
    </xf>
    <xf numFmtId="0" fontId="23" fillId="2" borderId="27" xfId="0" applyFont="1" applyFill="1" applyBorder="1" applyAlignment="1" applyProtection="1">
      <alignment horizontal="left" vertical="center"/>
      <protection locked="0"/>
    </xf>
    <xf numFmtId="0" fontId="22" fillId="0" borderId="28" xfId="0" applyFont="1" applyBorder="1"/>
    <xf numFmtId="0" fontId="19" fillId="0" borderId="28" xfId="0" applyFont="1" applyBorder="1"/>
    <xf numFmtId="0" fontId="19" fillId="0" borderId="16" xfId="0" applyFont="1" applyBorder="1"/>
    <xf numFmtId="0" fontId="23" fillId="2" borderId="0" xfId="0" applyFont="1" applyFill="1" applyAlignment="1" applyProtection="1">
      <alignment horizontal="left" vertical="center"/>
      <protection locked="0"/>
    </xf>
    <xf numFmtId="0" fontId="23" fillId="2" borderId="39" xfId="0" applyFont="1" applyFill="1" applyBorder="1" applyAlignment="1" applyProtection="1">
      <alignment horizontal="left" vertical="center"/>
      <protection locked="0"/>
    </xf>
    <xf numFmtId="0" fontId="19" fillId="0" borderId="40" xfId="0" applyFont="1" applyBorder="1"/>
    <xf numFmtId="0" fontId="23" fillId="2" borderId="1" xfId="0" applyFont="1" applyFill="1" applyBorder="1" applyAlignment="1" applyProtection="1">
      <alignment horizontal="left" vertical="center"/>
      <protection locked="0"/>
    </xf>
    <xf numFmtId="0" fontId="22" fillId="0" borderId="43" xfId="0" applyFont="1" applyBorder="1"/>
    <xf numFmtId="0" fontId="23" fillId="2" borderId="44" xfId="0" applyFont="1" applyFill="1" applyBorder="1" applyAlignment="1" applyProtection="1">
      <alignment horizontal="left" vertical="center"/>
      <protection locked="0"/>
    </xf>
    <xf numFmtId="0" fontId="22" fillId="0" borderId="45" xfId="0" applyFont="1" applyBorder="1"/>
    <xf numFmtId="0" fontId="22" fillId="0" borderId="46" xfId="0" applyFont="1" applyBorder="1"/>
    <xf numFmtId="0" fontId="19" fillId="0" borderId="46" xfId="0" applyFont="1" applyBorder="1"/>
    <xf numFmtId="0" fontId="19" fillId="0" borderId="49" xfId="0" applyFont="1" applyBorder="1"/>
    <xf numFmtId="0" fontId="19" fillId="0" borderId="50" xfId="0" applyFont="1" applyBorder="1"/>
    <xf numFmtId="0" fontId="26" fillId="0" borderId="0" xfId="0" applyFont="1"/>
    <xf numFmtId="0" fontId="39" fillId="2" borderId="6" xfId="0" quotePrefix="1" applyFont="1" applyFill="1" applyBorder="1" applyAlignment="1" applyProtection="1">
      <alignment horizontal="center" vertical="center" wrapText="1"/>
      <protection locked="0"/>
    </xf>
    <xf numFmtId="0" fontId="23" fillId="0" borderId="51" xfId="0" applyFont="1" applyBorder="1" applyAlignment="1">
      <alignment horizontal="center" vertical="center"/>
    </xf>
    <xf numFmtId="0" fontId="39" fillId="0" borderId="7" xfId="0" applyFont="1" applyBorder="1" applyAlignment="1">
      <alignment horizontal="center" vertical="center"/>
    </xf>
    <xf numFmtId="0" fontId="23" fillId="0" borderId="9" xfId="0" applyFont="1" applyBorder="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2" borderId="0" xfId="0" quotePrefix="1" applyFont="1" applyFill="1" applyProtection="1">
      <protection locked="0"/>
    </xf>
    <xf numFmtId="0" fontId="66" fillId="0" borderId="0" xfId="0" applyFont="1"/>
    <xf numFmtId="0" fontId="67" fillId="0" borderId="0" xfId="0" applyFont="1"/>
    <xf numFmtId="0" fontId="68" fillId="0" borderId="0" xfId="0" applyFont="1"/>
    <xf numFmtId="0" fontId="23" fillId="0" borderId="17" xfId="0" applyFont="1" applyBorder="1" applyAlignment="1">
      <alignment horizontal="center" vertical="center"/>
    </xf>
    <xf numFmtId="0" fontId="23" fillId="0" borderId="38" xfId="0" applyFont="1" applyBorder="1" applyAlignment="1">
      <alignment horizontal="center" vertical="center"/>
    </xf>
    <xf numFmtId="0" fontId="23" fillId="0" borderId="16" xfId="0" applyFont="1" applyBorder="1" applyAlignment="1">
      <alignment horizontal="center" vertical="center"/>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29" xfId="0" applyFont="1" applyBorder="1" applyAlignment="1">
      <alignment horizontal="center" vertical="center"/>
    </xf>
    <xf numFmtId="6" fontId="23" fillId="0" borderId="2" xfId="0" applyNumberFormat="1" applyFont="1" applyBorder="1" applyAlignment="1">
      <alignment horizontal="center" vertical="center"/>
    </xf>
    <xf numFmtId="0" fontId="23" fillId="0" borderId="47" xfId="0" applyFont="1" applyBorder="1" applyAlignment="1">
      <alignment horizontal="center" vertical="center"/>
    </xf>
    <xf numFmtId="6" fontId="23" fillId="0" borderId="48" xfId="0" applyNumberFormat="1" applyFont="1" applyBorder="1" applyAlignment="1">
      <alignment horizontal="center" vertical="center"/>
    </xf>
    <xf numFmtId="9" fontId="23" fillId="0" borderId="47" xfId="4" applyFont="1" applyFill="1" applyBorder="1" applyAlignment="1">
      <alignment horizontal="center" vertical="center"/>
    </xf>
    <xf numFmtId="9" fontId="23" fillId="0" borderId="0" xfId="4" applyFont="1" applyFill="1" applyBorder="1" applyAlignment="1">
      <alignment horizontal="center" vertical="center"/>
    </xf>
    <xf numFmtId="0" fontId="13" fillId="2" borderId="0" xfId="0" applyFont="1" applyFill="1" applyProtection="1">
      <protection locked="0"/>
    </xf>
    <xf numFmtId="0" fontId="13" fillId="8" borderId="0" xfId="0" applyFont="1" applyFill="1" applyProtection="1">
      <protection locked="0"/>
    </xf>
    <xf numFmtId="0" fontId="35" fillId="2" borderId="0" xfId="0" applyFont="1" applyFill="1" applyProtection="1">
      <protection locked="0"/>
    </xf>
    <xf numFmtId="0" fontId="29" fillId="2" borderId="0" xfId="0" applyFont="1" applyFill="1" applyProtection="1">
      <protection locked="0"/>
    </xf>
    <xf numFmtId="0" fontId="31" fillId="15" borderId="3" xfId="0" applyFont="1" applyFill="1" applyBorder="1" applyAlignment="1" applyProtection="1">
      <alignment horizontal="center"/>
      <protection locked="0"/>
    </xf>
    <xf numFmtId="0" fontId="36" fillId="2" borderId="3" xfId="0" applyFont="1" applyFill="1" applyBorder="1" applyAlignment="1" applyProtection="1">
      <alignment horizontal="center"/>
      <protection locked="0"/>
    </xf>
    <xf numFmtId="0" fontId="32" fillId="15" borderId="3" xfId="1" applyFont="1" applyFill="1" applyBorder="1" applyAlignment="1" applyProtection="1">
      <alignment horizontal="center"/>
      <protection locked="0"/>
    </xf>
    <xf numFmtId="0" fontId="37" fillId="2" borderId="3" xfId="1" applyFont="1" applyFill="1" applyBorder="1" applyAlignment="1" applyProtection="1">
      <alignment horizontal="center"/>
      <protection locked="0"/>
    </xf>
    <xf numFmtId="0" fontId="63" fillId="2" borderId="0" xfId="0" applyFont="1" applyFill="1" applyProtection="1">
      <protection locked="0"/>
    </xf>
    <xf numFmtId="0" fontId="16" fillId="2" borderId="3" xfId="0" applyFont="1" applyFill="1" applyBorder="1" applyAlignment="1" applyProtection="1">
      <alignment horizontal="center"/>
      <protection locked="0"/>
    </xf>
    <xf numFmtId="0" fontId="35" fillId="2" borderId="3" xfId="0" applyFont="1" applyFill="1" applyBorder="1" applyAlignment="1" applyProtection="1">
      <alignment horizontal="center"/>
      <protection locked="0"/>
    </xf>
    <xf numFmtId="0" fontId="41" fillId="8" borderId="0" xfId="0" applyFont="1" applyFill="1" applyAlignment="1">
      <alignment horizontal="left" vertical="top"/>
    </xf>
    <xf numFmtId="0" fontId="35" fillId="2" borderId="0" xfId="0" applyFont="1" applyFill="1"/>
    <xf numFmtId="0" fontId="18" fillId="2" borderId="3" xfId="0" applyFont="1" applyFill="1" applyBorder="1" applyAlignment="1">
      <alignment horizontal="left" vertical="center" wrapText="1"/>
    </xf>
    <xf numFmtId="0" fontId="18" fillId="7" borderId="3" xfId="0" applyFont="1" applyFill="1" applyBorder="1" applyAlignment="1">
      <alignment horizontal="left" vertical="center" wrapText="1"/>
    </xf>
    <xf numFmtId="0" fontId="18" fillId="2" borderId="3" xfId="0" applyFont="1" applyFill="1" applyBorder="1" applyAlignment="1">
      <alignment vertical="center" wrapText="1"/>
    </xf>
    <xf numFmtId="0" fontId="16" fillId="2" borderId="3" xfId="0" applyFont="1" applyFill="1" applyBorder="1"/>
    <xf numFmtId="9" fontId="16" fillId="2" borderId="0" xfId="0" applyNumberFormat="1" applyFont="1" applyFill="1" applyProtection="1">
      <protection locked="0"/>
    </xf>
    <xf numFmtId="0" fontId="23" fillId="2" borderId="3" xfId="0" applyFont="1" applyFill="1" applyBorder="1" applyAlignment="1" applyProtection="1">
      <alignment horizontal="center" vertical="center" wrapText="1"/>
      <protection locked="0"/>
    </xf>
    <xf numFmtId="0" fontId="46" fillId="2" borderId="0" xfId="0" applyFont="1" applyFill="1" applyAlignment="1" applyProtection="1">
      <alignment wrapText="1"/>
      <protection locked="0"/>
    </xf>
    <xf numFmtId="0" fontId="27" fillId="15" borderId="5" xfId="0" applyFont="1" applyFill="1" applyBorder="1" applyAlignment="1" applyProtection="1">
      <alignment horizontal="center" vertical="center" wrapText="1"/>
      <protection locked="0"/>
    </xf>
    <xf numFmtId="164" fontId="23" fillId="2" borderId="3" xfId="2" applyNumberFormat="1" applyFont="1" applyFill="1" applyBorder="1" applyAlignment="1" applyProtection="1">
      <alignment horizontal="center" vertical="center" wrapText="1"/>
      <protection locked="0"/>
    </xf>
    <xf numFmtId="0" fontId="16" fillId="2" borderId="0" xfId="0" applyFont="1" applyFill="1" applyAlignment="1" applyProtection="1">
      <alignment wrapText="1"/>
      <protection locked="0"/>
    </xf>
    <xf numFmtId="0" fontId="46" fillId="2" borderId="0" xfId="0" applyFont="1" applyFill="1" applyProtection="1">
      <protection locked="0"/>
    </xf>
    <xf numFmtId="6" fontId="22" fillId="2" borderId="3" xfId="0" applyNumberFormat="1" applyFont="1" applyFill="1" applyBorder="1" applyProtection="1">
      <protection locked="0"/>
    </xf>
    <xf numFmtId="6" fontId="23" fillId="2" borderId="3" xfId="0" applyNumberFormat="1" applyFont="1" applyFill="1" applyBorder="1" applyAlignment="1" applyProtection="1">
      <alignment horizontal="center" vertical="center" wrapText="1"/>
      <protection locked="0"/>
    </xf>
    <xf numFmtId="6" fontId="23" fillId="2" borderId="0" xfId="0" applyNumberFormat="1" applyFont="1" applyFill="1" applyAlignment="1" applyProtection="1">
      <alignment horizontal="center" vertical="center" wrapText="1"/>
      <protection locked="0"/>
    </xf>
    <xf numFmtId="0" fontId="46" fillId="0" borderId="0" xfId="0" applyFont="1" applyProtection="1">
      <protection locked="0"/>
    </xf>
    <xf numFmtId="0" fontId="47" fillId="2" borderId="0" xfId="0" applyFont="1" applyFill="1" applyProtection="1">
      <protection locked="0"/>
    </xf>
    <xf numFmtId="0" fontId="33" fillId="8" borderId="0" xfId="0" applyFont="1" applyFill="1" applyAlignment="1">
      <alignment horizontal="left" vertical="center"/>
    </xf>
    <xf numFmtId="0" fontId="18" fillId="8" borderId="0" xfId="0" applyFont="1" applyFill="1" applyAlignment="1">
      <alignment horizontal="center" vertical="center"/>
    </xf>
    <xf numFmtId="0" fontId="16" fillId="8" borderId="0" xfId="0" applyFont="1" applyFill="1"/>
    <xf numFmtId="0" fontId="18" fillId="2" borderId="0" xfId="0" applyFont="1" applyFill="1" applyAlignment="1">
      <alignment horizontal="center" vertical="center"/>
    </xf>
    <xf numFmtId="0" fontId="22" fillId="2" borderId="23" xfId="0" applyFont="1" applyFill="1" applyBorder="1"/>
    <xf numFmtId="0" fontId="16" fillId="2" borderId="23" xfId="0" applyFont="1" applyFill="1" applyBorder="1"/>
    <xf numFmtId="0" fontId="27" fillId="2" borderId="3" xfId="0" applyFont="1" applyFill="1" applyBorder="1"/>
    <xf numFmtId="0" fontId="27" fillId="2" borderId="3" xfId="0" applyFont="1" applyFill="1" applyBorder="1" applyAlignment="1">
      <alignment wrapText="1"/>
    </xf>
    <xf numFmtId="1" fontId="27" fillId="0" borderId="3" xfId="2" applyNumberFormat="1" applyFont="1" applyFill="1" applyBorder="1" applyAlignment="1" applyProtection="1">
      <alignment horizontal="center" vertical="center"/>
    </xf>
    <xf numFmtId="6" fontId="27" fillId="0" borderId="3" xfId="0" applyNumberFormat="1" applyFont="1" applyBorder="1" applyAlignment="1">
      <alignment horizontal="center" vertical="center"/>
    </xf>
    <xf numFmtId="0" fontId="27" fillId="7" borderId="3" xfId="0" applyFont="1" applyFill="1" applyBorder="1" applyAlignment="1">
      <alignment horizontal="center" vertical="center" wrapText="1"/>
    </xf>
    <xf numFmtId="0" fontId="43" fillId="2" borderId="5" xfId="0" applyFont="1" applyFill="1" applyBorder="1" applyAlignment="1">
      <alignment vertical="center" wrapText="1"/>
    </xf>
    <xf numFmtId="0" fontId="40" fillId="2" borderId="5" xfId="0" applyFont="1" applyFill="1" applyBorder="1" applyAlignment="1">
      <alignment vertical="center" wrapText="1"/>
    </xf>
    <xf numFmtId="0" fontId="27" fillId="2" borderId="5" xfId="0" applyFont="1" applyFill="1" applyBorder="1" applyAlignment="1">
      <alignment vertical="center" wrapText="1"/>
    </xf>
    <xf numFmtId="0" fontId="40" fillId="2" borderId="3" xfId="0" applyFont="1" applyFill="1" applyBorder="1" applyAlignment="1">
      <alignment wrapText="1"/>
    </xf>
    <xf numFmtId="0" fontId="40"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34" fillId="2" borderId="3" xfId="0" applyFont="1" applyFill="1" applyBorder="1" applyAlignment="1">
      <alignment horizontal="left" wrapText="1"/>
    </xf>
    <xf numFmtId="0" fontId="40" fillId="2" borderId="3" xfId="0" applyFont="1" applyFill="1" applyBorder="1"/>
    <xf numFmtId="6" fontId="40" fillId="0" borderId="3" xfId="0" applyNumberFormat="1" applyFont="1" applyBorder="1"/>
    <xf numFmtId="6" fontId="27" fillId="0" borderId="3" xfId="0" applyNumberFormat="1" applyFont="1" applyBorder="1" applyAlignment="1">
      <alignment horizontal="center" vertical="center" wrapText="1"/>
    </xf>
    <xf numFmtId="0" fontId="27" fillId="2" borderId="0" xfId="0" applyFont="1" applyFill="1" applyAlignment="1">
      <alignment horizontal="center" vertical="center" wrapText="1"/>
    </xf>
    <xf numFmtId="0" fontId="34" fillId="2" borderId="0" xfId="0" applyFont="1" applyFill="1" applyAlignment="1">
      <alignment horizontal="left" vertical="center" wrapText="1"/>
    </xf>
    <xf numFmtId="0" fontId="34" fillId="0" borderId="0" xfId="0" applyFont="1" applyAlignment="1">
      <alignment horizontal="left" vertical="center" wrapText="1"/>
    </xf>
    <xf numFmtId="6" fontId="27" fillId="0" borderId="0" xfId="0" applyNumberFormat="1" applyFont="1" applyAlignment="1">
      <alignment horizontal="center" vertical="center" wrapText="1"/>
    </xf>
    <xf numFmtId="6" fontId="27" fillId="2" borderId="3" xfId="0" applyNumberFormat="1" applyFont="1" applyFill="1" applyBorder="1" applyAlignment="1">
      <alignment horizontal="center" vertical="center"/>
    </xf>
    <xf numFmtId="6" fontId="26" fillId="0" borderId="3" xfId="0" applyNumberFormat="1" applyFont="1" applyBorder="1" applyAlignment="1">
      <alignment horizontal="center" vertical="center"/>
    </xf>
    <xf numFmtId="0" fontId="14" fillId="0" borderId="0" xfId="0" applyFont="1" applyProtection="1">
      <protection locked="0"/>
    </xf>
    <xf numFmtId="0" fontId="46" fillId="0" borderId="0" xfId="0" applyFont="1" applyAlignment="1" applyProtection="1">
      <alignment wrapText="1"/>
      <protection locked="0"/>
    </xf>
    <xf numFmtId="0" fontId="14" fillId="0" borderId="0" xfId="0" applyFont="1" applyAlignment="1" applyProtection="1">
      <alignment horizontal="center"/>
      <protection locked="0"/>
    </xf>
    <xf numFmtId="0" fontId="14" fillId="6" borderId="0" xfId="0" applyFont="1" applyFill="1" applyProtection="1">
      <protection locked="0"/>
    </xf>
    <xf numFmtId="0" fontId="58" fillId="0" borderId="30" xfId="0" applyFont="1" applyBorder="1" applyAlignment="1" applyProtection="1">
      <alignment horizontal="center" vertical="center" wrapText="1"/>
      <protection locked="0"/>
    </xf>
    <xf numFmtId="0" fontId="61" fillId="0" borderId="30" xfId="0" applyFont="1" applyBorder="1" applyAlignment="1" applyProtection="1">
      <alignment vertical="center"/>
      <protection locked="0"/>
    </xf>
    <xf numFmtId="0" fontId="60" fillId="0" borderId="0" xfId="0" applyFont="1" applyAlignment="1" applyProtection="1">
      <alignment wrapText="1"/>
      <protection locked="0"/>
    </xf>
    <xf numFmtId="0" fontId="59" fillId="0" borderId="0" xfId="0" applyFont="1" applyProtection="1">
      <protection locked="0"/>
    </xf>
    <xf numFmtId="0" fontId="16" fillId="15" borderId="29" xfId="0" applyFont="1" applyFill="1" applyBorder="1" applyProtection="1">
      <protection locked="0"/>
    </xf>
    <xf numFmtId="0" fontId="14" fillId="0" borderId="29" xfId="0" applyFont="1" applyBorder="1" applyProtection="1">
      <protection locked="0"/>
    </xf>
    <xf numFmtId="0" fontId="15" fillId="0" borderId="0" xfId="0" applyFont="1" applyProtection="1">
      <protection locked="0"/>
    </xf>
    <xf numFmtId="0" fontId="56" fillId="0" borderId="0" xfId="1" applyFont="1" applyProtection="1">
      <protection locked="0"/>
    </xf>
    <xf numFmtId="0" fontId="16" fillId="15" borderId="29" xfId="0" applyFont="1" applyFill="1" applyBorder="1" applyAlignment="1" applyProtection="1">
      <alignment wrapText="1"/>
      <protection locked="0"/>
    </xf>
    <xf numFmtId="0" fontId="15" fillId="0" borderId="0" xfId="0" applyFont="1" applyAlignment="1" applyProtection="1">
      <alignment wrapText="1"/>
      <protection locked="0"/>
    </xf>
    <xf numFmtId="0" fontId="14" fillId="0" borderId="0" xfId="0" quotePrefix="1" applyFont="1" applyProtection="1">
      <protection locked="0"/>
    </xf>
    <xf numFmtId="0" fontId="15" fillId="0" borderId="0" xfId="0" quotePrefix="1" applyFont="1" applyProtection="1">
      <protection locked="0"/>
    </xf>
    <xf numFmtId="0" fontId="14" fillId="7" borderId="0" xfId="0" applyFont="1" applyFill="1" applyProtection="1">
      <protection locked="0"/>
    </xf>
    <xf numFmtId="0" fontId="14" fillId="0" borderId="0" xfId="0" applyFont="1" applyAlignment="1" applyProtection="1">
      <alignment vertical="top"/>
      <protection locked="0"/>
    </xf>
    <xf numFmtId="0" fontId="15" fillId="0" borderId="0" xfId="0" applyFont="1" applyAlignment="1" applyProtection="1">
      <alignment vertical="top" wrapText="1"/>
      <protection locked="0"/>
    </xf>
    <xf numFmtId="0" fontId="14" fillId="0" borderId="14" xfId="0" applyFont="1" applyBorder="1" applyProtection="1">
      <protection locked="0"/>
    </xf>
    <xf numFmtId="0" fontId="14" fillId="0" borderId="15" xfId="0" applyFont="1" applyBorder="1" applyProtection="1">
      <protection locked="0"/>
    </xf>
    <xf numFmtId="0" fontId="14" fillId="0" borderId="28" xfId="0" applyFont="1" applyBorder="1" applyProtection="1">
      <protection locked="0"/>
    </xf>
    <xf numFmtId="0" fontId="15" fillId="0" borderId="0" xfId="0" quotePrefix="1" applyFont="1" applyAlignment="1" applyProtection="1">
      <alignment horizontal="center"/>
      <protection locked="0"/>
    </xf>
    <xf numFmtId="0" fontId="15" fillId="0" borderId="0" xfId="0" applyFont="1" applyAlignment="1" applyProtection="1">
      <alignment horizontal="center"/>
      <protection locked="0"/>
    </xf>
    <xf numFmtId="0" fontId="14" fillId="6" borderId="53" xfId="0" applyFont="1" applyFill="1" applyBorder="1" applyProtection="1">
      <protection locked="0"/>
    </xf>
    <xf numFmtId="0" fontId="14" fillId="0" borderId="53" xfId="0" applyFont="1" applyBorder="1" applyProtection="1">
      <protection locked="0"/>
    </xf>
    <xf numFmtId="0" fontId="15" fillId="0" borderId="53" xfId="0" applyFont="1" applyBorder="1" applyAlignment="1" applyProtection="1">
      <alignment horizontal="center"/>
      <protection locked="0"/>
    </xf>
    <xf numFmtId="0" fontId="15" fillId="0" borderId="53" xfId="0" applyFont="1" applyBorder="1" applyProtection="1">
      <protection locked="0"/>
    </xf>
    <xf numFmtId="0" fontId="57" fillId="0" borderId="30" xfId="0" applyFont="1" applyBorder="1"/>
    <xf numFmtId="0" fontId="57" fillId="10" borderId="0" xfId="0" applyFont="1" applyFill="1"/>
    <xf numFmtId="0" fontId="16" fillId="10" borderId="46" xfId="0" applyFont="1" applyFill="1" applyBorder="1" applyAlignment="1">
      <alignment horizontal="center" vertical="center" textRotation="90" wrapText="1"/>
    </xf>
    <xf numFmtId="0" fontId="16" fillId="10" borderId="0" xfId="0" applyFont="1" applyFill="1" applyAlignment="1">
      <alignment horizontal="center" vertical="center" textRotation="90" wrapText="1"/>
    </xf>
    <xf numFmtId="0" fontId="16" fillId="10" borderId="53" xfId="0" applyFont="1" applyFill="1" applyBorder="1" applyAlignment="1">
      <alignment vertical="center" wrapText="1"/>
    </xf>
    <xf numFmtId="0" fontId="16" fillId="10" borderId="53" xfId="0" applyFont="1" applyFill="1" applyBorder="1" applyAlignment="1">
      <alignment horizontal="center" vertical="center" textRotation="90" wrapText="1"/>
    </xf>
    <xf numFmtId="0" fontId="14" fillId="10" borderId="0" xfId="0" applyFont="1" applyFill="1" applyAlignment="1">
      <alignment horizontal="center" vertical="center" textRotation="90" wrapText="1"/>
    </xf>
    <xf numFmtId="0" fontId="14" fillId="10" borderId="53" xfId="0" applyFont="1" applyFill="1" applyBorder="1" applyAlignment="1">
      <alignment horizontal="center" vertical="center" textRotation="90" wrapText="1"/>
    </xf>
    <xf numFmtId="0" fontId="16" fillId="10" borderId="46" xfId="0" applyFont="1" applyFill="1" applyBorder="1" applyAlignment="1">
      <alignment horizontal="center" textRotation="90" wrapText="1"/>
    </xf>
    <xf numFmtId="0" fontId="16" fillId="10" borderId="0" xfId="0" applyFont="1" applyFill="1" applyAlignment="1">
      <alignment horizontal="center" textRotation="90" wrapText="1"/>
    </xf>
    <xf numFmtId="0" fontId="16" fillId="10" borderId="53" xfId="0" applyFont="1" applyFill="1" applyBorder="1" applyAlignment="1">
      <alignment horizontal="center" textRotation="90" wrapText="1"/>
    </xf>
    <xf numFmtId="0" fontId="16" fillId="10" borderId="0" xfId="0" applyFont="1" applyFill="1" applyAlignment="1">
      <alignment wrapText="1"/>
    </xf>
    <xf numFmtId="0" fontId="16" fillId="10" borderId="53" xfId="0" applyFont="1" applyFill="1" applyBorder="1" applyAlignment="1">
      <alignment wrapText="1"/>
    </xf>
    <xf numFmtId="0" fontId="16" fillId="10" borderId="46" xfId="0" applyFont="1" applyFill="1" applyBorder="1" applyAlignment="1">
      <alignment horizontal="center" textRotation="90"/>
    </xf>
    <xf numFmtId="0" fontId="16" fillId="10" borderId="0" xfId="0" applyFont="1" applyFill="1" applyAlignment="1">
      <alignment horizontal="center" textRotation="90"/>
    </xf>
    <xf numFmtId="0" fontId="16" fillId="10" borderId="53" xfId="0" applyFont="1" applyFill="1" applyBorder="1" applyAlignment="1">
      <alignment horizontal="center" textRotation="90"/>
    </xf>
    <xf numFmtId="0" fontId="16" fillId="0" borderId="0" xfId="0" applyFont="1"/>
    <xf numFmtId="0" fontId="16" fillId="10" borderId="0" xfId="0" applyFont="1" applyFill="1"/>
    <xf numFmtId="0" fontId="14" fillId="0" borderId="14" xfId="0" applyFont="1" applyBorder="1"/>
    <xf numFmtId="0" fontId="14" fillId="0" borderId="0" xfId="0" applyFont="1"/>
    <xf numFmtId="0" fontId="38" fillId="0" borderId="30" xfId="0" applyFont="1" applyBorder="1" applyAlignment="1">
      <alignment horizontal="center" vertical="center" wrapText="1"/>
    </xf>
    <xf numFmtId="0" fontId="16" fillId="0" borderId="0" xfId="0" applyFont="1" applyAlignment="1">
      <alignment horizontal="center"/>
    </xf>
    <xf numFmtId="0" fontId="16" fillId="0" borderId="29" xfId="0" applyFont="1" applyBorder="1"/>
    <xf numFmtId="0" fontId="22" fillId="2" borderId="0" xfId="0" applyFont="1" applyFill="1"/>
    <xf numFmtId="0" fontId="22" fillId="8" borderId="0" xfId="0" applyFont="1" applyFill="1"/>
    <xf numFmtId="0" fontId="31" fillId="2" borderId="0" xfId="0" applyFont="1" applyFill="1"/>
    <xf numFmtId="0" fontId="22" fillId="3" borderId="0" xfId="0" applyFont="1" applyFill="1"/>
    <xf numFmtId="0" fontId="18" fillId="2" borderId="3" xfId="0" applyFont="1" applyFill="1" applyBorder="1" applyAlignment="1">
      <alignment horizontal="center" vertical="center"/>
    </xf>
    <xf numFmtId="0" fontId="18" fillId="0" borderId="3" xfId="0" applyFont="1" applyBorder="1" applyAlignment="1">
      <alignment horizontal="center" vertical="center"/>
    </xf>
    <xf numFmtId="0" fontId="18" fillId="2" borderId="3" xfId="0" applyFont="1" applyFill="1" applyBorder="1" applyAlignment="1">
      <alignment horizontal="center" vertical="center" wrapText="1"/>
    </xf>
    <xf numFmtId="0" fontId="31" fillId="2" borderId="0" xfId="0" applyFont="1" applyFill="1" applyAlignment="1">
      <alignment horizontal="center" vertical="center" wrapText="1"/>
    </xf>
    <xf numFmtId="0" fontId="18" fillId="2" borderId="0" xfId="0" applyFont="1" applyFill="1" applyAlignment="1">
      <alignment horizontal="center" vertical="center" wrapText="1"/>
    </xf>
    <xf numFmtId="0" fontId="31" fillId="2" borderId="0" xfId="0" applyFont="1" applyFill="1" applyAlignment="1">
      <alignment horizontal="left" vertical="center" wrapText="1"/>
    </xf>
    <xf numFmtId="0" fontId="31" fillId="2" borderId="0" xfId="0" applyFont="1" applyFill="1" applyAlignment="1">
      <alignment horizontal="left"/>
    </xf>
    <xf numFmtId="0" fontId="52" fillId="2" borderId="0" xfId="0" applyFont="1" applyFill="1" applyAlignment="1">
      <alignment horizontal="left" vertical="center" wrapText="1"/>
    </xf>
    <xf numFmtId="0" fontId="31" fillId="2" borderId="0" xfId="0" applyFont="1" applyFill="1" applyAlignment="1">
      <alignment vertical="center" wrapText="1"/>
    </xf>
    <xf numFmtId="0" fontId="54" fillId="2" borderId="3" xfId="0" applyFont="1" applyFill="1" applyBorder="1" applyAlignment="1">
      <alignment horizontal="left" vertical="center" wrapText="1"/>
    </xf>
    <xf numFmtId="1" fontId="18" fillId="0" borderId="3" xfId="0" applyNumberFormat="1" applyFont="1" applyBorder="1" applyAlignment="1">
      <alignment horizontal="center" vertical="center"/>
    </xf>
    <xf numFmtId="0" fontId="51" fillId="0" borderId="0" xfId="0" applyFont="1"/>
    <xf numFmtId="1" fontId="18" fillId="2" borderId="0" xfId="0" applyNumberFormat="1" applyFont="1" applyFill="1" applyAlignment="1">
      <alignment horizontal="center" vertical="center"/>
    </xf>
    <xf numFmtId="0" fontId="52" fillId="0" borderId="0" xfId="0" applyFont="1" applyAlignment="1">
      <alignment horizontal="left" vertical="center" wrapText="1"/>
    </xf>
    <xf numFmtId="0" fontId="54" fillId="0" borderId="3" xfId="0" applyFont="1" applyBorder="1" applyAlignment="1">
      <alignment horizontal="center" vertical="center"/>
    </xf>
    <xf numFmtId="0" fontId="31" fillId="0" borderId="0" xfId="0" applyFont="1" applyAlignment="1">
      <alignment vertical="center" wrapText="1"/>
    </xf>
    <xf numFmtId="0" fontId="31" fillId="2" borderId="0" xfId="0" applyFont="1" applyFill="1" applyAlignment="1">
      <alignment horizontal="center" vertical="center"/>
    </xf>
    <xf numFmtId="1" fontId="54" fillId="0" borderId="3" xfId="0" applyNumberFormat="1" applyFont="1" applyBorder="1" applyAlignment="1">
      <alignment horizontal="center" vertical="center"/>
    </xf>
    <xf numFmtId="0" fontId="52" fillId="2" borderId="0" xfId="0" applyFont="1" applyFill="1"/>
    <xf numFmtId="0" fontId="65" fillId="2" borderId="3" xfId="0" applyFont="1" applyFill="1" applyBorder="1" applyAlignment="1">
      <alignment horizontal="left" vertical="center" wrapText="1"/>
    </xf>
    <xf numFmtId="165" fontId="18" fillId="0" borderId="3" xfId="3" applyNumberFormat="1" applyFont="1" applyFill="1" applyBorder="1" applyAlignment="1" applyProtection="1">
      <alignment horizontal="center" vertical="center"/>
    </xf>
    <xf numFmtId="165" fontId="18" fillId="2" borderId="0" xfId="3" applyNumberFormat="1" applyFont="1" applyFill="1" applyBorder="1" applyAlignment="1" applyProtection="1">
      <alignment horizontal="center" vertical="center"/>
    </xf>
    <xf numFmtId="165" fontId="54" fillId="0" borderId="3" xfId="3" applyNumberFormat="1" applyFont="1" applyFill="1" applyBorder="1" applyAlignment="1" applyProtection="1">
      <alignment horizontal="center" vertical="center"/>
    </xf>
    <xf numFmtId="1" fontId="31" fillId="2" borderId="0" xfId="0" applyNumberFormat="1" applyFont="1" applyFill="1"/>
    <xf numFmtId="0" fontId="27" fillId="0" borderId="3" xfId="0" applyFont="1" applyBorder="1" applyAlignment="1">
      <alignment horizontal="center" vertical="center" wrapText="1"/>
    </xf>
    <xf numFmtId="0" fontId="69" fillId="0" borderId="0" xfId="0" applyFont="1"/>
    <xf numFmtId="1" fontId="69" fillId="0" borderId="0" xfId="0" applyNumberFormat="1" applyFont="1"/>
    <xf numFmtId="0" fontId="70" fillId="2" borderId="0" xfId="0" applyFont="1" applyFill="1"/>
    <xf numFmtId="0" fontId="18" fillId="2" borderId="0" xfId="0" applyFont="1" applyFill="1" applyAlignment="1">
      <alignment horizontal="left" vertical="center" wrapText="1"/>
    </xf>
    <xf numFmtId="165" fontId="18" fillId="0" borderId="0" xfId="3" applyNumberFormat="1" applyFont="1" applyFill="1" applyBorder="1" applyAlignment="1" applyProtection="1">
      <alignment horizontal="center" vertical="center"/>
    </xf>
    <xf numFmtId="0" fontId="54" fillId="2" borderId="0" xfId="0" applyFont="1" applyFill="1" applyAlignment="1">
      <alignment horizontal="left" vertical="center" wrapText="1"/>
    </xf>
    <xf numFmtId="165" fontId="54" fillId="0" borderId="0" xfId="3" applyNumberFormat="1" applyFont="1" applyFill="1" applyBorder="1" applyAlignment="1" applyProtection="1">
      <alignment horizontal="center" vertical="center"/>
    </xf>
    <xf numFmtId="0" fontId="27" fillId="2" borderId="57" xfId="0" applyFont="1" applyFill="1" applyBorder="1"/>
    <xf numFmtId="0" fontId="27" fillId="2" borderId="57" xfId="0" applyFont="1" applyFill="1" applyBorder="1" applyAlignment="1">
      <alignment wrapText="1"/>
    </xf>
    <xf numFmtId="1" fontId="27" fillId="0" borderId="57" xfId="2" applyNumberFormat="1" applyFont="1" applyFill="1" applyBorder="1" applyAlignment="1" applyProtection="1">
      <alignment horizontal="center" vertical="center"/>
    </xf>
    <xf numFmtId="0" fontId="0" fillId="17" borderId="0" xfId="0" applyFill="1"/>
    <xf numFmtId="0" fontId="0" fillId="15" borderId="29" xfId="0" applyFill="1" applyBorder="1"/>
    <xf numFmtId="0" fontId="21" fillId="7" borderId="0" xfId="0" applyFont="1" applyFill="1"/>
    <xf numFmtId="0" fontId="21" fillId="7" borderId="14" xfId="0" applyFont="1" applyFill="1" applyBorder="1"/>
    <xf numFmtId="0" fontId="16" fillId="0" borderId="53" xfId="0" quotePrefix="1" applyFont="1" applyBorder="1"/>
    <xf numFmtId="0" fontId="16" fillId="0" borderId="0" xfId="0" quotePrefix="1" applyFont="1"/>
    <xf numFmtId="0" fontId="16" fillId="0" borderId="46" xfId="0" quotePrefix="1" applyFont="1" applyBorder="1"/>
    <xf numFmtId="0" fontId="16" fillId="0" borderId="53" xfId="0" applyFont="1" applyBorder="1"/>
    <xf numFmtId="0" fontId="16" fillId="0" borderId="46" xfId="0" applyFont="1" applyBorder="1"/>
    <xf numFmtId="0" fontId="20" fillId="7" borderId="45" xfId="0" applyFont="1" applyFill="1" applyBorder="1" applyAlignment="1">
      <alignment vertical="center"/>
    </xf>
    <xf numFmtId="0" fontId="16" fillId="0" borderId="0" xfId="0" applyFont="1" applyProtection="1">
      <protection locked="0"/>
    </xf>
    <xf numFmtId="0" fontId="16" fillId="0" borderId="0" xfId="0" applyFont="1" applyAlignment="1">
      <alignment wrapText="1"/>
    </xf>
    <xf numFmtId="0" fontId="0" fillId="17" borderId="29" xfId="0" applyFill="1" applyBorder="1"/>
    <xf numFmtId="0" fontId="0" fillId="17" borderId="60" xfId="0" applyFill="1" applyBorder="1"/>
    <xf numFmtId="0" fontId="14" fillId="0" borderId="60" xfId="0" applyFont="1" applyBorder="1" applyProtection="1">
      <protection locked="0"/>
    </xf>
    <xf numFmtId="0" fontId="14" fillId="0" borderId="54" xfId="0" applyFont="1" applyBorder="1" applyAlignment="1" applyProtection="1">
      <alignment horizontal="center"/>
      <protection locked="0"/>
    </xf>
    <xf numFmtId="0" fontId="16" fillId="0" borderId="30" xfId="0" applyFont="1" applyBorder="1" applyProtection="1">
      <protection locked="0"/>
    </xf>
    <xf numFmtId="0" fontId="17" fillId="0" borderId="61" xfId="0" applyFont="1" applyBorder="1" applyProtection="1">
      <protection locked="0"/>
    </xf>
    <xf numFmtId="0" fontId="14" fillId="0" borderId="30" xfId="0" applyFont="1" applyBorder="1" applyProtection="1">
      <protection locked="0"/>
    </xf>
    <xf numFmtId="0" fontId="14" fillId="0" borderId="41" xfId="0" applyFont="1" applyBorder="1" applyProtection="1">
      <protection locked="0"/>
    </xf>
    <xf numFmtId="0" fontId="14" fillId="0" borderId="46" xfId="0" applyFont="1" applyBorder="1" applyProtection="1">
      <protection locked="0"/>
    </xf>
    <xf numFmtId="0" fontId="14" fillId="0" borderId="53" xfId="0" applyFont="1" applyBorder="1"/>
    <xf numFmtId="0" fontId="8" fillId="2" borderId="0" xfId="0" applyFont="1" applyFill="1" applyProtection="1"/>
    <xf numFmtId="0" fontId="8" fillId="8" borderId="0" xfId="0" applyFont="1" applyFill="1" applyProtection="1"/>
    <xf numFmtId="0" fontId="28" fillId="8" borderId="0" xfId="0" applyFont="1" applyFill="1" applyAlignment="1" applyProtection="1">
      <alignment wrapText="1"/>
    </xf>
    <xf numFmtId="0" fontId="16" fillId="2" borderId="0" xfId="0" applyFont="1" applyFill="1" applyProtection="1"/>
    <xf numFmtId="0" fontId="9" fillId="2" borderId="0" xfId="0" applyFont="1" applyFill="1" applyAlignment="1" applyProtection="1">
      <alignment vertical="center" wrapText="1"/>
    </xf>
    <xf numFmtId="0" fontId="11" fillId="2" borderId="0" xfId="0" applyFont="1" applyFill="1" applyProtection="1"/>
    <xf numFmtId="0" fontId="26" fillId="8" borderId="28" xfId="0" applyFont="1" applyFill="1" applyBorder="1" applyAlignment="1" applyProtection="1">
      <alignment horizontal="left" vertical="center" wrapText="1"/>
    </xf>
    <xf numFmtId="0" fontId="17" fillId="8" borderId="28" xfId="0" applyFont="1" applyFill="1" applyBorder="1" applyAlignment="1" applyProtection="1">
      <alignment horizontal="left" vertical="center" wrapText="1"/>
    </xf>
    <xf numFmtId="0" fontId="27" fillId="2" borderId="0" xfId="0" applyFont="1" applyFill="1" applyProtection="1"/>
    <xf numFmtId="0" fontId="23" fillId="2" borderId="6" xfId="0" applyFont="1" applyFill="1" applyBorder="1" applyAlignment="1" applyProtection="1">
      <alignment horizontal="center" vertical="center"/>
    </xf>
    <xf numFmtId="0" fontId="14" fillId="2" borderId="6" xfId="0" applyFont="1" applyFill="1" applyBorder="1" applyAlignment="1" applyProtection="1">
      <alignment wrapText="1"/>
    </xf>
    <xf numFmtId="0" fontId="16" fillId="5" borderId="17" xfId="0" applyFont="1" applyFill="1" applyBorder="1" applyAlignment="1" applyProtection="1">
      <alignment horizontal="left" vertical="center" wrapText="1"/>
    </xf>
    <xf numFmtId="0" fontId="2" fillId="2" borderId="6" xfId="0" applyFont="1" applyFill="1" applyBorder="1" applyAlignment="1" applyProtection="1">
      <alignment horizontal="center"/>
    </xf>
    <xf numFmtId="0" fontId="8" fillId="2" borderId="6" xfId="0" applyFont="1" applyFill="1" applyBorder="1" applyAlignment="1" applyProtection="1">
      <alignment wrapText="1"/>
    </xf>
    <xf numFmtId="0" fontId="21" fillId="5" borderId="20" xfId="0" applyFont="1" applyFill="1" applyBorder="1" applyAlignment="1" applyProtection="1">
      <alignment horizontal="left" vertical="center" wrapText="1"/>
    </xf>
    <xf numFmtId="0" fontId="14" fillId="2" borderId="6" xfId="0" applyFont="1" applyFill="1" applyBorder="1" applyAlignment="1" applyProtection="1">
      <alignment vertical="top" wrapText="1"/>
    </xf>
    <xf numFmtId="0" fontId="23" fillId="2" borderId="6" xfId="0" applyFont="1" applyFill="1" applyBorder="1" applyAlignment="1" applyProtection="1">
      <alignment horizontal="center" vertical="top"/>
    </xf>
    <xf numFmtId="0" fontId="16" fillId="2" borderId="6" xfId="0" applyFont="1" applyFill="1" applyBorder="1" applyAlignment="1" applyProtection="1">
      <alignment vertical="top" wrapText="1"/>
    </xf>
    <xf numFmtId="0" fontId="21" fillId="5" borderId="18" xfId="0" applyFont="1" applyFill="1" applyBorder="1" applyAlignment="1" applyProtection="1">
      <alignment horizontal="left" vertical="top" wrapText="1"/>
    </xf>
    <xf numFmtId="0" fontId="10" fillId="2" borderId="0" xfId="0" applyFont="1" applyFill="1" applyProtection="1"/>
    <xf numFmtId="0" fontId="21" fillId="2" borderId="6" xfId="0" applyFont="1" applyFill="1" applyBorder="1" applyAlignment="1" applyProtection="1">
      <alignment horizontal="center" vertical="top"/>
    </xf>
    <xf numFmtId="0" fontId="7" fillId="2" borderId="0" xfId="0" applyFont="1" applyFill="1" applyAlignment="1" applyProtection="1">
      <alignment horizontal="center"/>
    </xf>
    <xf numFmtId="0" fontId="8" fillId="0" borderId="24" xfId="0" applyFont="1" applyBorder="1" applyAlignment="1" applyProtection="1">
      <alignment wrapText="1"/>
    </xf>
    <xf numFmtId="0" fontId="7" fillId="2" borderId="10" xfId="0" applyFont="1" applyFill="1" applyBorder="1" applyAlignment="1" applyProtection="1">
      <alignment horizontal="center"/>
    </xf>
    <xf numFmtId="0" fontId="8" fillId="2" borderId="0" xfId="0" applyFont="1" applyFill="1" applyAlignment="1" applyProtection="1">
      <alignment wrapText="1"/>
    </xf>
    <xf numFmtId="0" fontId="8" fillId="2" borderId="59" xfId="0" applyFont="1" applyFill="1" applyBorder="1" applyAlignment="1" applyProtection="1">
      <alignment wrapText="1"/>
    </xf>
    <xf numFmtId="0" fontId="6" fillId="2" borderId="29" xfId="0" applyFont="1" applyFill="1" applyBorder="1" applyAlignment="1" applyProtection="1">
      <alignment horizontal="center"/>
    </xf>
    <xf numFmtId="0" fontId="6" fillId="2" borderId="29" xfId="0" applyFont="1" applyFill="1" applyBorder="1" applyAlignment="1" applyProtection="1">
      <alignment horizontal="center" wrapText="1"/>
    </xf>
    <xf numFmtId="0" fontId="8" fillId="2" borderId="29" xfId="0" applyFont="1" applyFill="1" applyBorder="1" applyAlignment="1" applyProtection="1">
      <alignment horizontal="center"/>
    </xf>
    <xf numFmtId="0" fontId="8" fillId="2" borderId="29" xfId="0" applyFont="1" applyFill="1" applyBorder="1" applyAlignment="1" applyProtection="1">
      <alignment horizontal="left" wrapText="1"/>
    </xf>
    <xf numFmtId="17" fontId="8" fillId="2" borderId="29" xfId="0" applyNumberFormat="1" applyFont="1" applyFill="1" applyBorder="1" applyAlignment="1" applyProtection="1">
      <alignment horizontal="center"/>
    </xf>
    <xf numFmtId="17" fontId="0" fillId="2" borderId="29" xfId="0" applyNumberFormat="1" applyFill="1" applyBorder="1" applyAlignment="1" applyProtection="1">
      <alignment horizontal="center"/>
    </xf>
    <xf numFmtId="0" fontId="14" fillId="2" borderId="0" xfId="0" applyFont="1" applyFill="1" applyAlignment="1" applyProtection="1">
      <alignment horizontal="left" vertical="center" wrapText="1"/>
    </xf>
    <xf numFmtId="0" fontId="15" fillId="2" borderId="0" xfId="0" applyFont="1" applyFill="1" applyAlignment="1" applyProtection="1">
      <alignment horizontal="left" vertical="center" wrapText="1"/>
    </xf>
    <xf numFmtId="0" fontId="20" fillId="8" borderId="0" xfId="0" applyFont="1" applyFill="1" applyAlignment="1" applyProtection="1">
      <alignment horizontal="left" vertical="top" wrapText="1"/>
    </xf>
    <xf numFmtId="0" fontId="17" fillId="0" borderId="54" xfId="0" applyFont="1" applyBorder="1" applyAlignment="1" applyProtection="1">
      <alignment vertical="center" wrapText="1"/>
    </xf>
    <xf numFmtId="0" fontId="17" fillId="0" borderId="0" xfId="0" applyFont="1" applyAlignment="1" applyProtection="1">
      <alignment vertical="center" wrapText="1"/>
    </xf>
    <xf numFmtId="0" fontId="17" fillId="0" borderId="55" xfId="0" applyFont="1" applyBorder="1" applyAlignment="1" applyProtection="1">
      <alignment horizontal="left" vertical="center" wrapText="1"/>
    </xf>
    <xf numFmtId="0" fontId="17" fillId="0" borderId="28" xfId="0" applyFont="1" applyBorder="1" applyAlignment="1" applyProtection="1">
      <alignment horizontal="left" vertical="center" wrapText="1"/>
    </xf>
    <xf numFmtId="0" fontId="18" fillId="9" borderId="3" xfId="0" applyFont="1" applyFill="1" applyBorder="1" applyAlignment="1">
      <alignment horizontal="center" vertical="center"/>
    </xf>
    <xf numFmtId="0" fontId="33" fillId="8" borderId="0" xfId="0" applyFont="1" applyFill="1" applyAlignment="1">
      <alignment horizontal="left" vertical="top"/>
    </xf>
    <xf numFmtId="0" fontId="30" fillId="9" borderId="3" xfId="0" applyFont="1" applyFill="1" applyBorder="1" applyAlignment="1">
      <alignment horizontal="center" vertical="center"/>
    </xf>
    <xf numFmtId="0" fontId="34" fillId="2" borderId="0" xfId="0" applyFont="1" applyFill="1" applyAlignment="1">
      <alignment wrapText="1"/>
    </xf>
    <xf numFmtId="0" fontId="34" fillId="0" borderId="0" xfId="0" applyFont="1"/>
    <xf numFmtId="0" fontId="19" fillId="2" borderId="18" xfId="0" applyFont="1" applyFill="1" applyBorder="1" applyAlignment="1" applyProtection="1">
      <alignment horizontal="left" vertical="center" wrapText="1"/>
      <protection locked="0"/>
    </xf>
    <xf numFmtId="0" fontId="22" fillId="2" borderId="18" xfId="0" applyFont="1" applyFill="1" applyBorder="1" applyAlignment="1" applyProtection="1">
      <alignment horizontal="left" vertical="center" wrapText="1"/>
      <protection locked="0"/>
    </xf>
    <xf numFmtId="0" fontId="22" fillId="2" borderId="6" xfId="0" applyFont="1" applyFill="1" applyBorder="1" applyAlignment="1" applyProtection="1">
      <alignment horizontal="left" vertical="center" wrapText="1"/>
      <protection locked="0"/>
    </xf>
    <xf numFmtId="0" fontId="22" fillId="0" borderId="25"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26" xfId="0" applyFont="1" applyBorder="1" applyAlignment="1" applyProtection="1">
      <alignment horizontal="left" vertical="center" wrapText="1"/>
      <protection locked="0"/>
    </xf>
    <xf numFmtId="0" fontId="22" fillId="0" borderId="27" xfId="0" applyFont="1" applyBorder="1" applyAlignment="1" applyProtection="1">
      <alignment horizontal="left" vertical="center" wrapText="1"/>
      <protection locked="0"/>
    </xf>
    <xf numFmtId="0" fontId="22" fillId="0" borderId="28" xfId="0" applyFont="1" applyBorder="1" applyAlignment="1" applyProtection="1">
      <alignment horizontal="left" vertical="center" wrapText="1"/>
      <protection locked="0"/>
    </xf>
    <xf numFmtId="0" fontId="22" fillId="0" borderId="16" xfId="0" applyFont="1" applyBorder="1" applyAlignment="1" applyProtection="1">
      <alignment horizontal="left" vertical="center" wrapText="1"/>
      <protection locked="0"/>
    </xf>
    <xf numFmtId="0" fontId="20" fillId="8" borderId="0" xfId="0" applyFont="1" applyFill="1" applyAlignment="1" applyProtection="1">
      <alignment horizontal="left" vertical="top" wrapText="1"/>
      <protection locked="0"/>
    </xf>
    <xf numFmtId="0" fontId="34" fillId="2" borderId="0" xfId="0" applyFont="1" applyFill="1" applyAlignment="1" applyProtection="1">
      <alignment horizontal="left" vertical="center" wrapText="1"/>
      <protection locked="0"/>
    </xf>
    <xf numFmtId="0" fontId="45" fillId="2" borderId="0" xfId="0" applyFont="1" applyFill="1" applyAlignment="1" applyProtection="1">
      <alignment horizontal="left" vertical="center" wrapText="1"/>
      <protection locked="0"/>
    </xf>
    <xf numFmtId="0" fontId="44" fillId="2" borderId="11" xfId="0" applyFont="1" applyFill="1" applyBorder="1" applyAlignment="1" applyProtection="1">
      <alignment horizontal="center" vertical="center"/>
      <protection locked="0"/>
    </xf>
    <xf numFmtId="0" fontId="44" fillId="2" borderId="12" xfId="0" applyFont="1" applyFill="1" applyBorder="1" applyAlignment="1" applyProtection="1">
      <alignment horizontal="center" vertical="center"/>
      <protection locked="0"/>
    </xf>
    <xf numFmtId="0" fontId="44" fillId="2" borderId="13" xfId="0" applyFont="1" applyFill="1" applyBorder="1" applyAlignment="1" applyProtection="1">
      <alignment horizontal="center" vertical="center"/>
      <protection locked="0"/>
    </xf>
    <xf numFmtId="0" fontId="27" fillId="2" borderId="0" xfId="0" quotePrefix="1" applyFont="1" applyFill="1" applyAlignment="1">
      <alignment wrapText="1"/>
    </xf>
    <xf numFmtId="0" fontId="0" fillId="0" borderId="0" xfId="0" applyAlignment="1">
      <alignment wrapText="1"/>
    </xf>
    <xf numFmtId="0" fontId="71" fillId="16" borderId="25" xfId="0" applyFont="1" applyFill="1" applyBorder="1" applyAlignment="1" applyProtection="1">
      <alignment horizontal="center" vertical="center"/>
      <protection locked="0"/>
    </xf>
    <xf numFmtId="0" fontId="71" fillId="16" borderId="14" xfId="0" applyFont="1" applyFill="1" applyBorder="1" applyAlignment="1" applyProtection="1">
      <alignment horizontal="center" vertical="center"/>
      <protection locked="0"/>
    </xf>
    <xf numFmtId="0" fontId="71" fillId="16" borderId="26" xfId="0" applyFont="1" applyFill="1" applyBorder="1" applyAlignment="1" applyProtection="1">
      <alignment horizontal="center" vertical="center"/>
      <protection locked="0"/>
    </xf>
    <xf numFmtId="0" fontId="71" fillId="16" borderId="27" xfId="0" applyFont="1" applyFill="1" applyBorder="1" applyAlignment="1" applyProtection="1">
      <alignment horizontal="center" vertical="center"/>
      <protection locked="0"/>
    </xf>
    <xf numFmtId="0" fontId="71" fillId="16" borderId="28" xfId="0" applyFont="1" applyFill="1" applyBorder="1" applyAlignment="1" applyProtection="1">
      <alignment horizontal="center" vertical="center"/>
      <protection locked="0"/>
    </xf>
    <xf numFmtId="0" fontId="71" fillId="16" borderId="16" xfId="0" applyFont="1" applyFill="1" applyBorder="1" applyAlignment="1" applyProtection="1">
      <alignment horizontal="center" vertical="center"/>
      <protection locked="0"/>
    </xf>
    <xf numFmtId="0" fontId="34" fillId="2" borderId="4" xfId="0" applyFont="1" applyFill="1" applyBorder="1" applyAlignment="1">
      <alignment horizontal="left" wrapText="1"/>
    </xf>
    <xf numFmtId="0" fontId="34" fillId="2" borderId="7" xfId="0" applyFont="1" applyFill="1" applyBorder="1" applyAlignment="1">
      <alignment horizontal="left" wrapText="1"/>
    </xf>
    <xf numFmtId="0" fontId="27" fillId="2" borderId="4" xfId="0" applyFont="1" applyFill="1" applyBorder="1" applyAlignment="1">
      <alignment horizontal="left" wrapText="1"/>
    </xf>
    <xf numFmtId="0" fontId="27" fillId="2" borderId="8" xfId="0" applyFont="1" applyFill="1" applyBorder="1" applyAlignment="1">
      <alignment horizontal="left" wrapText="1"/>
    </xf>
    <xf numFmtId="0" fontId="16" fillId="2" borderId="4" xfId="0" applyFont="1" applyFill="1" applyBorder="1" applyAlignment="1">
      <alignment horizontal="center"/>
    </xf>
    <xf numFmtId="0" fontId="16" fillId="2" borderId="8" xfId="0" applyFont="1" applyFill="1" applyBorder="1" applyAlignment="1">
      <alignment horizontal="center"/>
    </xf>
    <xf numFmtId="0" fontId="16" fillId="2" borderId="7" xfId="0" applyFont="1" applyFill="1" applyBorder="1" applyAlignment="1">
      <alignment horizontal="center"/>
    </xf>
    <xf numFmtId="0" fontId="27" fillId="2" borderId="5" xfId="0" applyFont="1" applyFill="1" applyBorder="1" applyAlignment="1">
      <alignment vertical="center" wrapText="1"/>
    </xf>
    <xf numFmtId="0" fontId="0" fillId="0" borderId="57" xfId="0" applyBorder="1" applyAlignment="1">
      <alignment vertical="center" wrapText="1"/>
    </xf>
    <xf numFmtId="0" fontId="34" fillId="2" borderId="5" xfId="0" applyFont="1" applyFill="1" applyBorder="1" applyAlignment="1">
      <alignment vertical="center" wrapText="1"/>
    </xf>
    <xf numFmtId="0" fontId="71" fillId="16" borderId="25" xfId="0" applyFont="1" applyFill="1" applyBorder="1" applyAlignment="1" applyProtection="1">
      <alignment horizontal="left" vertical="center"/>
      <protection locked="0"/>
    </xf>
    <xf numFmtId="0" fontId="71" fillId="16" borderId="14" xfId="0" applyFont="1" applyFill="1" applyBorder="1" applyAlignment="1" applyProtection="1">
      <alignment horizontal="left" vertical="center"/>
      <protection locked="0"/>
    </xf>
    <xf numFmtId="0" fontId="71" fillId="16" borderId="26" xfId="0" applyFont="1" applyFill="1" applyBorder="1" applyAlignment="1" applyProtection="1">
      <alignment horizontal="left" vertical="center"/>
      <protection locked="0"/>
    </xf>
    <xf numFmtId="0" fontId="71" fillId="16" borderId="27" xfId="0" applyFont="1" applyFill="1" applyBorder="1" applyAlignment="1" applyProtection="1">
      <alignment horizontal="left" vertical="center"/>
      <protection locked="0"/>
    </xf>
    <xf numFmtId="0" fontId="71" fillId="16" borderId="28" xfId="0" applyFont="1" applyFill="1" applyBorder="1" applyAlignment="1" applyProtection="1">
      <alignment horizontal="left" vertical="center"/>
      <protection locked="0"/>
    </xf>
    <xf numFmtId="0" fontId="71" fillId="16" borderId="16" xfId="0" applyFont="1" applyFill="1" applyBorder="1" applyAlignment="1" applyProtection="1">
      <alignment horizontal="left" vertical="center"/>
      <protection locked="0"/>
    </xf>
    <xf numFmtId="0" fontId="34" fillId="2" borderId="58" xfId="0" applyFont="1" applyFill="1" applyBorder="1" applyAlignment="1">
      <alignment horizontal="left" wrapText="1"/>
    </xf>
    <xf numFmtId="0" fontId="34" fillId="2" borderId="19" xfId="0" applyFont="1" applyFill="1" applyBorder="1" applyAlignment="1">
      <alignment horizontal="left" wrapText="1"/>
    </xf>
    <xf numFmtId="0" fontId="40" fillId="2" borderId="0" xfId="0" applyFont="1" applyFill="1" applyAlignment="1">
      <alignment horizontal="left" vertical="center" wrapText="1"/>
    </xf>
    <xf numFmtId="0" fontId="0" fillId="0" borderId="0" xfId="0" applyAlignment="1">
      <alignment vertical="center"/>
    </xf>
    <xf numFmtId="0" fontId="49" fillId="8" borderId="0" xfId="0" applyFont="1" applyFill="1" applyAlignment="1">
      <alignment horizontal="left" vertical="center" wrapText="1"/>
    </xf>
    <xf numFmtId="0" fontId="50" fillId="8" borderId="0" xfId="0" applyFont="1" applyFill="1" applyAlignment="1">
      <alignment wrapText="1"/>
    </xf>
    <xf numFmtId="0" fontId="53" fillId="2" borderId="3" xfId="0" applyFont="1" applyFill="1" applyBorder="1" applyAlignment="1">
      <alignment horizontal="left" vertical="center" wrapText="1"/>
    </xf>
    <xf numFmtId="0" fontId="51" fillId="2" borderId="3" xfId="0" applyFont="1" applyFill="1" applyBorder="1" applyAlignment="1">
      <alignment horizontal="left" vertical="center" wrapText="1"/>
    </xf>
    <xf numFmtId="0" fontId="31" fillId="2" borderId="3" xfId="0" applyFont="1" applyFill="1" applyBorder="1" applyAlignment="1">
      <alignment horizontal="left" vertical="center" wrapText="1"/>
    </xf>
    <xf numFmtId="0" fontId="31" fillId="0" borderId="25" xfId="0" applyFont="1" applyBorder="1" applyAlignment="1">
      <alignment horizontal="left" vertical="center" wrapText="1"/>
    </xf>
    <xf numFmtId="0" fontId="31" fillId="0" borderId="14" xfId="0" applyFont="1" applyBorder="1" applyAlignment="1">
      <alignment horizontal="left" vertical="center" wrapText="1"/>
    </xf>
    <xf numFmtId="0" fontId="31" fillId="0" borderId="27" xfId="0" applyFont="1" applyBorder="1" applyAlignment="1">
      <alignment horizontal="left" vertical="center" wrapText="1"/>
    </xf>
    <xf numFmtId="0" fontId="31" fillId="0" borderId="28" xfId="0" applyFont="1" applyBorder="1" applyAlignment="1">
      <alignment horizontal="left" vertical="center" wrapText="1"/>
    </xf>
    <xf numFmtId="0" fontId="18" fillId="2" borderId="3" xfId="0" applyFont="1" applyFill="1" applyBorder="1" applyAlignment="1">
      <alignment horizontal="center" vertical="center" wrapText="1"/>
    </xf>
    <xf numFmtId="0" fontId="21" fillId="5" borderId="30" xfId="0" applyFont="1" applyFill="1" applyBorder="1" applyAlignment="1">
      <alignment horizontal="center" vertical="center" textRotation="90" wrapText="1"/>
    </xf>
    <xf numFmtId="0" fontId="21" fillId="5" borderId="31" xfId="0" applyFont="1" applyFill="1" applyBorder="1" applyAlignment="1">
      <alignment horizontal="center" vertical="center" textRotation="90" wrapText="1"/>
    </xf>
    <xf numFmtId="0" fontId="21" fillId="5" borderId="32" xfId="0" applyFont="1" applyFill="1" applyBorder="1" applyAlignment="1">
      <alignment vertical="center" wrapText="1"/>
    </xf>
    <xf numFmtId="0" fontId="56" fillId="0" borderId="29" xfId="1" applyFont="1" applyBorder="1" applyAlignment="1" applyProtection="1">
      <alignment horizontal="center" vertical="center" wrapText="1"/>
    </xf>
    <xf numFmtId="0" fontId="21" fillId="3" borderId="30" xfId="0" applyFont="1" applyFill="1" applyBorder="1" applyAlignment="1">
      <alignment horizontal="center" vertical="center" textRotation="90" wrapText="1"/>
    </xf>
    <xf numFmtId="0" fontId="21" fillId="3" borderId="31" xfId="0" applyFont="1" applyFill="1" applyBorder="1" applyAlignment="1">
      <alignment horizontal="center" vertical="center" textRotation="90" wrapText="1"/>
    </xf>
    <xf numFmtId="0" fontId="21" fillId="3" borderId="32" xfId="0" applyFont="1" applyFill="1" applyBorder="1" applyAlignment="1">
      <alignment horizontal="center" vertical="center" textRotation="90" wrapText="1"/>
    </xf>
    <xf numFmtId="0" fontId="16" fillId="0" borderId="29" xfId="0" applyFont="1" applyBorder="1" applyAlignment="1">
      <alignment horizontal="center" vertical="center" wrapText="1"/>
    </xf>
    <xf numFmtId="0" fontId="21" fillId="4" borderId="45" xfId="0" applyFont="1" applyFill="1" applyBorder="1" applyAlignment="1">
      <alignment horizontal="center" vertical="center" textRotation="90" wrapText="1"/>
    </xf>
    <xf numFmtId="0" fontId="17" fillId="4" borderId="54" xfId="0" applyFont="1" applyFill="1" applyBorder="1" applyAlignment="1">
      <alignment horizontal="center" vertical="center" textRotation="90" wrapText="1"/>
    </xf>
    <xf numFmtId="0" fontId="17" fillId="4" borderId="56" xfId="0" applyFont="1" applyFill="1" applyBorder="1" applyAlignment="1">
      <alignment horizontal="center" vertical="center" textRotation="90" wrapText="1"/>
    </xf>
    <xf numFmtId="0" fontId="16" fillId="0" borderId="30" xfId="0" quotePrefix="1" applyFont="1" applyBorder="1" applyAlignment="1">
      <alignment horizontal="center" vertical="center" wrapText="1"/>
    </xf>
    <xf numFmtId="0" fontId="14" fillId="0" borderId="31" xfId="0" applyFont="1" applyBorder="1" applyAlignment="1">
      <alignment horizontal="center" vertical="center" wrapText="1"/>
    </xf>
    <xf numFmtId="0" fontId="14" fillId="0" borderId="32" xfId="0" applyFont="1" applyBorder="1" applyAlignment="1">
      <alignment horizontal="center" vertical="center" wrapText="1"/>
    </xf>
    <xf numFmtId="0" fontId="21" fillId="14" borderId="45" xfId="0" applyFont="1" applyFill="1" applyBorder="1" applyAlignment="1">
      <alignment horizontal="center" textRotation="90"/>
    </xf>
    <xf numFmtId="0" fontId="21" fillId="14" borderId="54" xfId="0" applyFont="1" applyFill="1" applyBorder="1" applyAlignment="1">
      <alignment horizontal="center" textRotation="90"/>
    </xf>
    <xf numFmtId="0" fontId="21" fillId="14" borderId="56" xfId="0" applyFont="1" applyFill="1" applyBorder="1" applyAlignment="1">
      <alignment horizontal="center" textRotation="90"/>
    </xf>
    <xf numFmtId="0" fontId="21" fillId="11" borderId="45" xfId="0" applyFont="1" applyFill="1" applyBorder="1" applyAlignment="1">
      <alignment horizontal="center" vertical="center" textRotation="90" wrapText="1"/>
    </xf>
    <xf numFmtId="0" fontId="21" fillId="11" borderId="56" xfId="0" applyFont="1" applyFill="1" applyBorder="1" applyAlignment="1">
      <alignment horizontal="center" vertical="center" textRotation="90" wrapText="1"/>
    </xf>
    <xf numFmtId="0" fontId="16" fillId="0" borderId="29" xfId="0" quotePrefix="1" applyFont="1" applyBorder="1" applyAlignment="1">
      <alignment horizontal="center" vertical="center" wrapText="1"/>
    </xf>
    <xf numFmtId="0" fontId="21" fillId="12" borderId="45" xfId="0" applyFont="1" applyFill="1" applyBorder="1" applyAlignment="1">
      <alignment horizontal="center" textRotation="90" wrapText="1"/>
    </xf>
    <xf numFmtId="0" fontId="21" fillId="12" borderId="54" xfId="0" applyFont="1" applyFill="1" applyBorder="1" applyAlignment="1">
      <alignment horizontal="center" textRotation="90" wrapText="1"/>
    </xf>
    <xf numFmtId="0" fontId="21" fillId="12" borderId="56" xfId="0" applyFont="1" applyFill="1" applyBorder="1" applyAlignment="1">
      <alignment horizontal="center" textRotation="90" wrapText="1"/>
    </xf>
    <xf numFmtId="0" fontId="21" fillId="13" borderId="45" xfId="0" applyFont="1" applyFill="1" applyBorder="1" applyAlignment="1">
      <alignment horizontal="center" vertical="center" textRotation="90" wrapText="1"/>
    </xf>
    <xf numFmtId="0" fontId="21" fillId="13" borderId="54" xfId="0" applyFont="1" applyFill="1" applyBorder="1" applyAlignment="1">
      <alignment wrapText="1"/>
    </xf>
    <xf numFmtId="0" fontId="21" fillId="13" borderId="56" xfId="0" applyFont="1" applyFill="1" applyBorder="1" applyAlignment="1">
      <alignment wrapText="1"/>
    </xf>
    <xf numFmtId="0" fontId="16" fillId="0" borderId="30" xfId="0" applyFont="1" applyBorder="1" applyAlignment="1">
      <alignment horizontal="center" vertical="center" wrapText="1"/>
    </xf>
  </cellXfs>
  <cellStyles count="5">
    <cellStyle name="Comma" xfId="2" builtinId="3"/>
    <cellStyle name="Currency" xfId="3" builtinId="4"/>
    <cellStyle name="Hyperlink" xfId="1" builtinId="8"/>
    <cellStyle name="Normal" xfId="0" builtinId="0"/>
    <cellStyle name="Percent" xfId="4" builtinId="5"/>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9999FF"/>
      <color rgb="FF99FFCC"/>
      <color rgb="FFFF99CC"/>
      <color rgb="FFFF6699"/>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133350</xdr:rowOff>
    </xdr:from>
    <xdr:to>
      <xdr:col>12</xdr:col>
      <xdr:colOff>78531</xdr:colOff>
      <xdr:row>37</xdr:row>
      <xdr:rowOff>97615</xdr:rowOff>
    </xdr:to>
    <xdr:pic>
      <xdr:nvPicPr>
        <xdr:cNvPr id="2" name="Picture 1">
          <a:extLst>
            <a:ext uri="{FF2B5EF4-FFF2-40B4-BE49-F238E27FC236}">
              <a16:creationId xmlns:a16="http://schemas.microsoft.com/office/drawing/2014/main" id="{62528751-463D-4F69-A7ED-79FB0BC0B61E}"/>
            </a:ext>
          </a:extLst>
        </xdr:cNvPr>
        <xdr:cNvPicPr>
          <a:picLocks noChangeAspect="1"/>
        </xdr:cNvPicPr>
      </xdr:nvPicPr>
      <xdr:blipFill>
        <a:blip xmlns:r="http://schemas.openxmlformats.org/officeDocument/2006/relationships" r:embed="rId1"/>
        <a:stretch>
          <a:fillRect/>
        </a:stretch>
      </xdr:blipFill>
      <xdr:spPr>
        <a:xfrm>
          <a:off x="638175" y="400050"/>
          <a:ext cx="6755556" cy="6822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115453</xdr:colOff>
      <xdr:row>116</xdr:row>
      <xdr:rowOff>80818</xdr:rowOff>
    </xdr:from>
    <xdr:to>
      <xdr:col>11</xdr:col>
      <xdr:colOff>493966</xdr:colOff>
      <xdr:row>121</xdr:row>
      <xdr:rowOff>141581</xdr:rowOff>
    </xdr:to>
    <xdr:pic>
      <xdr:nvPicPr>
        <xdr:cNvPr id="3" name="Picture 2">
          <a:extLst>
            <a:ext uri="{FF2B5EF4-FFF2-40B4-BE49-F238E27FC236}">
              <a16:creationId xmlns:a16="http://schemas.microsoft.com/office/drawing/2014/main" id="{5125EB41-5540-4724-B0D2-084CE3226E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90271" y="25076727"/>
          <a:ext cx="4327059" cy="109985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ubbert, Lauren" id="{833B267A-4094-48A0-B9A7-79BB243BB8D8}" userId="S::LHubbert@sfwater.org::29f0ab5f-9e51-4b08-a037-fbb5897391fb" providerId="AD"/>
  <person displayName="Mensalvas, Tim" id="{6263AC6B-6B42-4FFB-8965-752CD1BADDEB}" userId="S::TMensalvas@trcsolutions.com::866bafb2-4dd8-4300-b0cf-f68917f6ef5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4" dT="2022-12-22T01:41:36.59" personId="{6263AC6B-6B42-4FFB-8965-752CD1BADDEB}" id="{3F44E504-B8B5-403F-AB8B-EE3E6EE4B4ED}">
    <text>Is this needed?</text>
  </threadedComment>
</ThreadedComments>
</file>

<file path=xl/threadedComments/threadedComment2.xml><?xml version="1.0" encoding="utf-8"?>
<ThreadedComments xmlns="http://schemas.microsoft.com/office/spreadsheetml/2018/threadedcomments" xmlns:x="http://schemas.openxmlformats.org/spreadsheetml/2006/main">
  <threadedComment ref="C12" dT="2022-07-21T15:50:19.52" personId="{833B267A-4094-48A0-B9A7-79BB243BB8D8}" id="{5B430986-A63C-419C-BB4E-A56083190A3F}">
    <text>edited text</text>
  </threadedComment>
  <threadedComment ref="Q12" dT="2022-07-21T15:50:19.52" personId="{833B267A-4094-48A0-B9A7-79BB243BB8D8}" id="{8AFA5BC5-A138-4E53-915B-14DD2E202F58}">
    <text>edited text</text>
  </threadedComment>
  <threadedComment ref="X12" dT="2022-07-21T15:50:19.52" personId="{833B267A-4094-48A0-B9A7-79BB243BB8D8}" id="{3EC99396-CE1C-40BD-84DB-EACFEC019842}">
    <text>edited text</text>
  </threadedComment>
  <threadedComment ref="AE12" dT="2022-07-21T15:50:19.52" personId="{833B267A-4094-48A0-B9A7-79BB243BB8D8}" id="{90CB43BB-2107-40FE-8E14-6617A40BF909}">
    <text>edited text</text>
  </threadedComment>
  <threadedComment ref="AL12" dT="2022-07-21T15:50:19.52" personId="{833B267A-4094-48A0-B9A7-79BB243BB8D8}" id="{83E7BFE9-5BE0-4CC7-9D07-F364122FFF13}">
    <text>edited text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pm@newcustomerjr.com"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s://sfpuc.org/programs/clean-energy/hetch-hetchy-power/customer-programs" TargetMode="Externa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F87D4-C0A3-4474-8747-5902ACCF8E9C}">
  <sheetPr>
    <pageSetUpPr fitToPage="1"/>
  </sheetPr>
  <dimension ref="A1:F23"/>
  <sheetViews>
    <sheetView topLeftCell="A7" zoomScale="85" zoomScaleNormal="85" workbookViewId="0">
      <selection activeCell="B2" sqref="B2:C2"/>
    </sheetView>
  </sheetViews>
  <sheetFormatPr defaultColWidth="8.54296875" defaultRowHeight="15" x14ac:dyDescent="0.4"/>
  <cols>
    <col min="1" max="1" width="2.453125" style="247" customWidth="1"/>
    <col min="2" max="2" width="41.54296875" style="247" customWidth="1"/>
    <col min="3" max="3" width="71.54296875" style="271" customWidth="1"/>
    <col min="4" max="4" width="9.81640625" style="247" bestFit="1" customWidth="1"/>
    <col min="5" max="5" width="89.81640625" style="250" customWidth="1"/>
    <col min="6" max="16384" width="8.54296875" style="247"/>
  </cols>
  <sheetData>
    <row r="1" spans="1:6" s="248" customFormat="1" ht="27.65" customHeight="1" x14ac:dyDescent="0.35">
      <c r="A1" s="247"/>
      <c r="B1" s="281" t="s">
        <v>342</v>
      </c>
      <c r="C1" s="281"/>
      <c r="E1" s="249"/>
    </row>
    <row r="2" spans="1:6" ht="171.65" customHeight="1" x14ac:dyDescent="0.4">
      <c r="B2" s="279" t="s">
        <v>343</v>
      </c>
      <c r="C2" s="280"/>
    </row>
    <row r="3" spans="1:6" ht="49.5" customHeight="1" x14ac:dyDescent="0.4">
      <c r="B3" s="282" t="s">
        <v>314</v>
      </c>
      <c r="C3" s="283"/>
      <c r="D3" s="251"/>
      <c r="F3" s="251"/>
    </row>
    <row r="4" spans="1:6" ht="50.5" customHeight="1" thickBot="1" x14ac:dyDescent="0.45">
      <c r="B4" s="284" t="s">
        <v>252</v>
      </c>
      <c r="C4" s="285"/>
      <c r="D4" s="252"/>
    </row>
    <row r="5" spans="1:6" ht="24" customHeight="1" thickBot="1" x14ac:dyDescent="0.55000000000000004">
      <c r="B5" s="253" t="s">
        <v>253</v>
      </c>
      <c r="C5" s="254"/>
      <c r="D5" s="252"/>
      <c r="E5" s="255" t="s">
        <v>317</v>
      </c>
    </row>
    <row r="6" spans="1:6" ht="75.5" thickBot="1" x14ac:dyDescent="0.45">
      <c r="B6" s="256" t="s">
        <v>3</v>
      </c>
      <c r="C6" s="257" t="s">
        <v>346</v>
      </c>
      <c r="E6" s="258" t="s">
        <v>229</v>
      </c>
    </row>
    <row r="7" spans="1:6" ht="30.5" thickBot="1" x14ac:dyDescent="0.4">
      <c r="B7" s="259"/>
      <c r="C7" s="260"/>
      <c r="E7" s="261" t="s">
        <v>78</v>
      </c>
    </row>
    <row r="8" spans="1:6" ht="60.5" thickBot="1" x14ac:dyDescent="0.4">
      <c r="B8" s="256" t="s">
        <v>267</v>
      </c>
      <c r="C8" s="262" t="s">
        <v>315</v>
      </c>
      <c r="E8" s="261" t="s">
        <v>79</v>
      </c>
    </row>
    <row r="9" spans="1:6" ht="40.5" customHeight="1" thickBot="1" x14ac:dyDescent="0.4">
      <c r="B9" s="263"/>
      <c r="C9" s="264"/>
      <c r="E9" s="261" t="s">
        <v>80</v>
      </c>
    </row>
    <row r="10" spans="1:6" ht="75.5" thickBot="1" x14ac:dyDescent="0.4">
      <c r="B10" s="256" t="s">
        <v>254</v>
      </c>
      <c r="C10" s="262" t="s">
        <v>316</v>
      </c>
      <c r="E10" s="265" t="s">
        <v>288</v>
      </c>
    </row>
    <row r="11" spans="1:6" ht="25" customHeight="1" thickBot="1" x14ac:dyDescent="0.45">
      <c r="B11" s="263"/>
      <c r="C11" s="264"/>
      <c r="D11" s="266"/>
    </row>
    <row r="12" spans="1:6" ht="120.5" thickBot="1" x14ac:dyDescent="0.45">
      <c r="B12" s="256" t="s">
        <v>2</v>
      </c>
      <c r="C12" s="264" t="s">
        <v>296</v>
      </c>
    </row>
    <row r="13" spans="1:6" ht="16.5" thickBot="1" x14ac:dyDescent="0.45">
      <c r="B13" s="263"/>
      <c r="C13" s="264"/>
      <c r="D13" s="266"/>
    </row>
    <row r="14" spans="1:6" ht="120.5" thickBot="1" x14ac:dyDescent="0.45">
      <c r="B14" s="256" t="s">
        <v>1</v>
      </c>
      <c r="C14" s="264" t="s">
        <v>344</v>
      </c>
    </row>
    <row r="15" spans="1:6" ht="15.5" thickBot="1" x14ac:dyDescent="0.45">
      <c r="B15" s="267"/>
      <c r="C15" s="264"/>
    </row>
    <row r="16" spans="1:6" x14ac:dyDescent="0.4">
      <c r="B16" s="268"/>
      <c r="C16" s="269"/>
    </row>
    <row r="17" spans="2:4" x14ac:dyDescent="0.4">
      <c r="B17" s="270"/>
      <c r="D17" s="266"/>
    </row>
    <row r="18" spans="2:4" x14ac:dyDescent="0.4">
      <c r="B18" s="268" t="s">
        <v>330</v>
      </c>
      <c r="C18" s="272"/>
    </row>
    <row r="19" spans="2:4" x14ac:dyDescent="0.4">
      <c r="B19" s="273" t="s">
        <v>331</v>
      </c>
      <c r="C19" s="274" t="s">
        <v>332</v>
      </c>
      <c r="D19" s="273" t="s">
        <v>333</v>
      </c>
    </row>
    <row r="20" spans="2:4" x14ac:dyDescent="0.4">
      <c r="B20" s="275">
        <v>1</v>
      </c>
      <c r="C20" s="276" t="s">
        <v>334</v>
      </c>
      <c r="D20" s="277">
        <v>44531</v>
      </c>
    </row>
    <row r="21" spans="2:4" ht="73" x14ac:dyDescent="0.4">
      <c r="B21" s="275">
        <v>2</v>
      </c>
      <c r="C21" s="276" t="s">
        <v>338</v>
      </c>
      <c r="D21" s="278">
        <v>44774</v>
      </c>
    </row>
    <row r="22" spans="2:4" ht="29.5" x14ac:dyDescent="0.4">
      <c r="B22" s="275">
        <v>3</v>
      </c>
      <c r="C22" s="276" t="s">
        <v>340</v>
      </c>
      <c r="D22" s="278">
        <v>44881</v>
      </c>
    </row>
    <row r="23" spans="2:4" x14ac:dyDescent="0.4">
      <c r="B23" s="275">
        <v>4</v>
      </c>
      <c r="C23" s="276" t="s">
        <v>345</v>
      </c>
      <c r="D23" s="278">
        <v>44911</v>
      </c>
    </row>
  </sheetData>
  <sheetProtection algorithmName="SHA-512" hashValue="q6U6ef+6tet+zo1R56VIIK9Cdv+yNmAJstp22dPAf37dP5T/I5oIH23iwLPO0oyby1krVz0NOSQF6RU9AKklwA==" saltValue="1wFMxWl/qFhFZIV4RQ4bbA==" spinCount="100000" sheet="1" objects="1" scenarios="1"/>
  <mergeCells count="4">
    <mergeCell ref="B2:C2"/>
    <mergeCell ref="B1:C1"/>
    <mergeCell ref="B3:C3"/>
    <mergeCell ref="B4:C4"/>
  </mergeCells>
  <pageMargins left="0.7" right="0.7" top="0.75" bottom="0.75" header="0.3" footer="0.3"/>
  <pageSetup paperSize="3" scale="8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5BBD3-ABF8-43F8-BE84-E3C263122104}">
  <sheetPr>
    <tabColor theme="8" tint="0.79998168889431442"/>
    <pageSetUpPr fitToPage="1"/>
  </sheetPr>
  <dimension ref="A1:P40"/>
  <sheetViews>
    <sheetView topLeftCell="A10" zoomScale="60" zoomScaleNormal="60" workbookViewId="0">
      <selection activeCell="AE17" sqref="AE17"/>
    </sheetView>
  </sheetViews>
  <sheetFormatPr defaultColWidth="8.81640625" defaultRowHeight="25" x14ac:dyDescent="0.5"/>
  <cols>
    <col min="1" max="1" width="2.54296875" style="4" customWidth="1"/>
    <col min="2" max="2" width="63.81640625" style="4" customWidth="1"/>
    <col min="3" max="3" width="51.81640625" style="4" customWidth="1"/>
    <col min="4" max="4" width="35" style="81" customWidth="1"/>
    <col min="5" max="6" width="21.453125" style="82" hidden="1" customWidth="1"/>
    <col min="7" max="7" width="0" style="82" hidden="1" customWidth="1"/>
    <col min="8" max="9" width="0" style="4" hidden="1" customWidth="1"/>
    <col min="10" max="10" width="8.81640625" style="4" hidden="1" customWidth="1"/>
    <col min="11" max="11" width="29.81640625" style="4" hidden="1" customWidth="1"/>
    <col min="12" max="12" width="35.81640625" style="4" hidden="1" customWidth="1"/>
    <col min="13" max="13" width="44.453125" style="4" hidden="1" customWidth="1"/>
    <col min="14" max="14" width="32.453125" style="4" hidden="1" customWidth="1"/>
    <col min="15" max="16" width="8.81640625" style="4" hidden="1" customWidth="1"/>
    <col min="17" max="18" width="8.81640625" style="4" customWidth="1"/>
    <col min="19" max="16384" width="8.81640625" style="4"/>
  </cols>
  <sheetData>
    <row r="1" spans="1:15" s="80" customFormat="1" ht="30" customHeight="1" x14ac:dyDescent="0.45">
      <c r="A1" s="79"/>
      <c r="B1" s="287" t="s">
        <v>3</v>
      </c>
      <c r="C1" s="287"/>
      <c r="D1" s="90"/>
    </row>
    <row r="2" spans="1:15" ht="6.65" customHeight="1" x14ac:dyDescent="0.5">
      <c r="B2" s="2"/>
      <c r="C2" s="2"/>
      <c r="D2" s="91"/>
    </row>
    <row r="3" spans="1:15" ht="81" customHeight="1" thickBot="1" x14ac:dyDescent="0.55000000000000004">
      <c r="B3" s="289" t="s">
        <v>287</v>
      </c>
      <c r="C3" s="290"/>
      <c r="D3" s="290"/>
    </row>
    <row r="4" spans="1:15" ht="26.25" customHeight="1" thickTop="1" thickBot="1" x14ac:dyDescent="0.55000000000000004">
      <c r="B4" s="286" t="s">
        <v>4</v>
      </c>
      <c r="C4" s="286" t="s">
        <v>3</v>
      </c>
      <c r="D4" s="288" t="s">
        <v>85</v>
      </c>
    </row>
    <row r="5" spans="1:15" ht="26" thickTop="1" thickBot="1" x14ac:dyDescent="0.55000000000000004">
      <c r="B5" s="286"/>
      <c r="C5" s="286"/>
      <c r="D5" s="288"/>
    </row>
    <row r="6" spans="1:15" ht="26" thickTop="1" thickBot="1" x14ac:dyDescent="0.55000000000000004">
      <c r="B6" s="92" t="s">
        <v>5</v>
      </c>
      <c r="C6" s="83"/>
      <c r="D6" s="84" t="s">
        <v>6</v>
      </c>
    </row>
    <row r="7" spans="1:15" ht="26" thickTop="1" thickBot="1" x14ac:dyDescent="0.55000000000000004">
      <c r="B7" s="92" t="s">
        <v>7</v>
      </c>
      <c r="C7" s="83"/>
      <c r="D7" s="84"/>
    </row>
    <row r="8" spans="1:15" ht="26" thickTop="1" thickBot="1" x14ac:dyDescent="0.55000000000000004">
      <c r="B8" s="92" t="s">
        <v>230</v>
      </c>
      <c r="C8" s="83"/>
      <c r="D8" s="84"/>
    </row>
    <row r="9" spans="1:15" ht="26" thickTop="1" thickBot="1" x14ac:dyDescent="0.55000000000000004">
      <c r="B9" s="92" t="s">
        <v>8</v>
      </c>
      <c r="C9" s="83"/>
      <c r="D9" s="84" t="s">
        <v>9</v>
      </c>
    </row>
    <row r="10" spans="1:15" ht="26" thickTop="1" thickBot="1" x14ac:dyDescent="0.55000000000000004">
      <c r="B10" s="92" t="s">
        <v>10</v>
      </c>
      <c r="C10" s="83"/>
      <c r="D10" s="84"/>
    </row>
    <row r="11" spans="1:15" ht="26" thickTop="1" thickBot="1" x14ac:dyDescent="0.55000000000000004">
      <c r="B11" s="92" t="s">
        <v>11</v>
      </c>
      <c r="C11" s="83"/>
      <c r="D11" s="84"/>
    </row>
    <row r="12" spans="1:15" ht="26" thickTop="1" thickBot="1" x14ac:dyDescent="0.55000000000000004">
      <c r="B12" s="92" t="s">
        <v>12</v>
      </c>
      <c r="C12" s="83"/>
      <c r="D12" s="84"/>
    </row>
    <row r="13" spans="1:15" ht="26" thickTop="1" thickBot="1" x14ac:dyDescent="0.55000000000000004">
      <c r="B13" s="92" t="s">
        <v>13</v>
      </c>
      <c r="C13" s="85"/>
      <c r="D13" s="86" t="s">
        <v>14</v>
      </c>
    </row>
    <row r="14" spans="1:15" ht="26" thickTop="1" thickBot="1" x14ac:dyDescent="0.55000000000000004">
      <c r="B14" s="92" t="s">
        <v>15</v>
      </c>
      <c r="C14" s="83"/>
      <c r="D14" s="84" t="s">
        <v>16</v>
      </c>
    </row>
    <row r="15" spans="1:15" ht="46" customHeight="1" thickTop="1" thickBot="1" x14ac:dyDescent="0.65">
      <c r="B15" s="92" t="s">
        <v>335</v>
      </c>
      <c r="C15" s="83"/>
      <c r="D15" s="84" t="s">
        <v>17</v>
      </c>
      <c r="K15" s="87" t="s">
        <v>269</v>
      </c>
      <c r="L15" s="87" t="s">
        <v>270</v>
      </c>
      <c r="M15" s="87" t="s">
        <v>271</v>
      </c>
      <c r="N15" s="87" t="s">
        <v>17</v>
      </c>
      <c r="O15" s="87"/>
    </row>
    <row r="16" spans="1:15" ht="27" thickTop="1" thickBot="1" x14ac:dyDescent="0.65">
      <c r="B16" s="92" t="s">
        <v>18</v>
      </c>
      <c r="C16" s="83"/>
      <c r="D16" s="84" t="s">
        <v>19</v>
      </c>
      <c r="K16" s="87" t="s">
        <v>272</v>
      </c>
      <c r="L16" s="87" t="s">
        <v>273</v>
      </c>
      <c r="M16" s="87" t="s">
        <v>19</v>
      </c>
      <c r="N16" s="87"/>
      <c r="O16" s="87"/>
    </row>
    <row r="17" spans="2:15" ht="45.65" customHeight="1" thickTop="1" thickBot="1" x14ac:dyDescent="0.65">
      <c r="B17" s="92" t="s">
        <v>20</v>
      </c>
      <c r="C17" s="83"/>
      <c r="D17" s="84"/>
      <c r="K17" s="87" t="s">
        <v>25</v>
      </c>
      <c r="L17" s="87" t="s">
        <v>26</v>
      </c>
      <c r="M17" s="87"/>
      <c r="N17" s="87"/>
      <c r="O17" s="87"/>
    </row>
    <row r="18" spans="2:15" ht="34" customHeight="1" thickTop="1" thickBot="1" x14ac:dyDescent="0.65">
      <c r="B18" s="93" t="s">
        <v>87</v>
      </c>
      <c r="C18" s="83"/>
      <c r="D18" s="84" t="s">
        <v>22</v>
      </c>
      <c r="K18" s="87" t="s">
        <v>22</v>
      </c>
      <c r="L18" s="87" t="s">
        <v>21</v>
      </c>
      <c r="M18" s="87"/>
      <c r="N18" s="87"/>
      <c r="O18" s="87"/>
    </row>
    <row r="19" spans="2:15" ht="44.15" customHeight="1" thickTop="1" thickBot="1" x14ac:dyDescent="0.65">
      <c r="B19" s="92" t="s">
        <v>23</v>
      </c>
      <c r="C19" s="83"/>
      <c r="D19" s="84">
        <v>150</v>
      </c>
      <c r="K19" s="87"/>
      <c r="L19" s="87"/>
      <c r="M19" s="87"/>
      <c r="N19" s="87"/>
      <c r="O19" s="87"/>
    </row>
    <row r="20" spans="2:15" ht="54" customHeight="1" thickTop="1" thickBot="1" x14ac:dyDescent="0.65">
      <c r="B20" s="92" t="s">
        <v>24</v>
      </c>
      <c r="C20" s="83"/>
      <c r="D20" s="84" t="s">
        <v>25</v>
      </c>
      <c r="K20" s="87" t="s">
        <v>25</v>
      </c>
      <c r="L20" s="87" t="s">
        <v>26</v>
      </c>
      <c r="M20" s="87"/>
      <c r="N20" s="87"/>
      <c r="O20" s="87"/>
    </row>
    <row r="21" spans="2:15" ht="36.65" customHeight="1" thickTop="1" thickBot="1" x14ac:dyDescent="0.65">
      <c r="B21" s="92" t="s">
        <v>27</v>
      </c>
      <c r="C21" s="83"/>
      <c r="D21" s="84" t="s">
        <v>28</v>
      </c>
      <c r="K21" s="87"/>
      <c r="L21" s="87"/>
      <c r="M21" s="87"/>
      <c r="N21" s="87"/>
      <c r="O21" s="87"/>
    </row>
    <row r="22" spans="2:15" ht="46" customHeight="1" thickTop="1" thickBot="1" x14ac:dyDescent="0.65">
      <c r="B22" s="92" t="s">
        <v>29</v>
      </c>
      <c r="C22" s="83"/>
      <c r="D22" s="84" t="s">
        <v>30</v>
      </c>
      <c r="K22" s="87" t="s">
        <v>274</v>
      </c>
      <c r="L22" s="87" t="s">
        <v>31</v>
      </c>
      <c r="M22" s="87" t="s">
        <v>30</v>
      </c>
      <c r="N22" s="87" t="s">
        <v>275</v>
      </c>
      <c r="O22" s="87" t="s">
        <v>276</v>
      </c>
    </row>
    <row r="23" spans="2:15" ht="41" thickTop="1" thickBot="1" x14ac:dyDescent="0.65">
      <c r="B23" s="92" t="s">
        <v>231</v>
      </c>
      <c r="C23" s="83"/>
      <c r="D23" s="84" t="s">
        <v>25</v>
      </c>
      <c r="K23" s="87" t="s">
        <v>25</v>
      </c>
      <c r="L23" s="87" t="s">
        <v>26</v>
      </c>
      <c r="M23" s="87"/>
      <c r="N23" s="87"/>
      <c r="O23" s="87"/>
    </row>
    <row r="24" spans="2:15" ht="27" thickTop="1" thickBot="1" x14ac:dyDescent="0.65">
      <c r="B24" s="92" t="s">
        <v>32</v>
      </c>
      <c r="C24" s="83"/>
      <c r="D24" s="84" t="s">
        <v>25</v>
      </c>
      <c r="K24" s="87" t="s">
        <v>25</v>
      </c>
      <c r="L24" s="87" t="s">
        <v>26</v>
      </c>
      <c r="M24" s="87" t="s">
        <v>277</v>
      </c>
      <c r="N24" s="87"/>
      <c r="O24" s="87"/>
    </row>
    <row r="25" spans="2:15" ht="27" thickTop="1" thickBot="1" x14ac:dyDescent="0.65">
      <c r="B25" s="92" t="s">
        <v>33</v>
      </c>
      <c r="C25" s="83"/>
      <c r="D25" s="84" t="s">
        <v>34</v>
      </c>
      <c r="K25" s="87" t="s">
        <v>34</v>
      </c>
      <c r="L25" s="87" t="s">
        <v>278</v>
      </c>
      <c r="M25" s="87" t="s">
        <v>279</v>
      </c>
      <c r="N25" s="87" t="s">
        <v>280</v>
      </c>
      <c r="O25" s="87" t="s">
        <v>281</v>
      </c>
    </row>
    <row r="26" spans="2:15" ht="58.5" customHeight="1" thickTop="1" thickBot="1" x14ac:dyDescent="0.65">
      <c r="B26" s="94" t="s">
        <v>232</v>
      </c>
      <c r="C26" s="83"/>
      <c r="D26" s="84" t="s">
        <v>35</v>
      </c>
      <c r="K26" s="87" t="s">
        <v>282</v>
      </c>
      <c r="L26" s="87" t="s">
        <v>35</v>
      </c>
      <c r="M26" s="87" t="s">
        <v>283</v>
      </c>
      <c r="N26" s="87"/>
      <c r="O26" s="87"/>
    </row>
    <row r="27" spans="2:15" ht="44.15" customHeight="1" thickTop="1" thickBot="1" x14ac:dyDescent="0.65">
      <c r="B27" s="94" t="s">
        <v>233</v>
      </c>
      <c r="C27" s="83"/>
      <c r="D27" s="84" t="s">
        <v>36</v>
      </c>
      <c r="K27" s="87" t="s">
        <v>284</v>
      </c>
      <c r="L27" s="87" t="s">
        <v>36</v>
      </c>
      <c r="M27" s="87"/>
      <c r="N27" s="87"/>
      <c r="O27" s="87"/>
    </row>
    <row r="28" spans="2:15" ht="27" thickTop="1" thickBot="1" x14ac:dyDescent="0.65">
      <c r="B28" s="94" t="s">
        <v>37</v>
      </c>
      <c r="C28" s="83"/>
      <c r="D28" s="84" t="s">
        <v>38</v>
      </c>
      <c r="K28" s="87" t="s">
        <v>38</v>
      </c>
      <c r="L28" s="87" t="s">
        <v>285</v>
      </c>
      <c r="M28" s="87"/>
      <c r="N28" s="87"/>
      <c r="O28" s="87"/>
    </row>
    <row r="29" spans="2:15" ht="41" thickTop="1" thickBot="1" x14ac:dyDescent="0.65">
      <c r="B29" s="94" t="s">
        <v>234</v>
      </c>
      <c r="C29" s="83"/>
      <c r="D29" s="84"/>
      <c r="K29" s="87"/>
      <c r="L29" s="87"/>
      <c r="M29" s="87"/>
      <c r="N29" s="87"/>
      <c r="O29" s="87"/>
    </row>
    <row r="30" spans="2:15" ht="36" customHeight="1" thickTop="1" thickBot="1" x14ac:dyDescent="0.65">
      <c r="B30" s="94" t="s">
        <v>235</v>
      </c>
      <c r="C30" s="83"/>
      <c r="D30" s="84"/>
      <c r="K30" s="87"/>
      <c r="L30" s="87"/>
      <c r="M30" s="87"/>
      <c r="N30" s="87"/>
      <c r="O30" s="87"/>
    </row>
    <row r="31" spans="2:15" ht="36" customHeight="1" thickTop="1" thickBot="1" x14ac:dyDescent="0.65">
      <c r="B31" s="94" t="s">
        <v>39</v>
      </c>
      <c r="C31" s="83"/>
      <c r="D31" s="84">
        <v>1</v>
      </c>
      <c r="K31" s="87"/>
      <c r="L31" s="87"/>
      <c r="M31" s="87"/>
      <c r="N31" s="87"/>
      <c r="O31" s="87"/>
    </row>
    <row r="32" spans="2:15" ht="45.65" customHeight="1" thickTop="1" thickBot="1" x14ac:dyDescent="0.65">
      <c r="B32" s="93" t="s">
        <v>236</v>
      </c>
      <c r="C32" s="83">
        <v>60</v>
      </c>
      <c r="D32" s="84">
        <v>100</v>
      </c>
      <c r="K32" s="87"/>
      <c r="L32" s="87"/>
      <c r="M32" s="87"/>
      <c r="N32" s="87"/>
      <c r="O32" s="87"/>
    </row>
    <row r="33" spans="2:15" ht="36" customHeight="1" thickTop="1" thickBot="1" x14ac:dyDescent="0.65">
      <c r="B33" s="95"/>
      <c r="C33" s="88"/>
      <c r="D33" s="89"/>
      <c r="K33" s="87"/>
      <c r="L33" s="87"/>
      <c r="M33" s="87"/>
      <c r="N33" s="87"/>
      <c r="O33" s="87"/>
    </row>
    <row r="34" spans="2:15" ht="26.5" thickTop="1" x14ac:dyDescent="0.6">
      <c r="K34" s="87"/>
      <c r="L34" s="87"/>
      <c r="M34" s="87"/>
      <c r="N34" s="87"/>
      <c r="O34" s="87"/>
    </row>
    <row r="35" spans="2:15" ht="26" x14ac:dyDescent="0.6">
      <c r="K35" s="87"/>
      <c r="L35" s="87"/>
      <c r="M35" s="87"/>
      <c r="N35" s="87"/>
      <c r="O35" s="87"/>
    </row>
    <row r="36" spans="2:15" ht="26" x14ac:dyDescent="0.6">
      <c r="K36" s="87"/>
      <c r="L36" s="87"/>
      <c r="M36" s="87"/>
      <c r="N36" s="87"/>
      <c r="O36" s="87"/>
    </row>
    <row r="37" spans="2:15" ht="26" x14ac:dyDescent="0.6">
      <c r="K37" s="87"/>
      <c r="L37" s="87"/>
      <c r="M37" s="87"/>
      <c r="N37" s="87"/>
      <c r="O37" s="87"/>
    </row>
    <row r="38" spans="2:15" ht="26" x14ac:dyDescent="0.6">
      <c r="K38" s="87"/>
      <c r="L38" s="87"/>
      <c r="M38" s="87"/>
      <c r="N38" s="87"/>
      <c r="O38" s="87"/>
    </row>
    <row r="39" spans="2:15" ht="26" x14ac:dyDescent="0.6">
      <c r="K39" s="87"/>
      <c r="L39" s="87"/>
      <c r="M39" s="87"/>
      <c r="N39" s="87"/>
      <c r="O39" s="87"/>
    </row>
    <row r="40" spans="2:15" ht="26" x14ac:dyDescent="0.6">
      <c r="K40" s="87"/>
      <c r="L40" s="87"/>
      <c r="M40" s="87"/>
      <c r="N40" s="87"/>
      <c r="O40" s="87"/>
    </row>
  </sheetData>
  <sheetProtection algorithmName="SHA-512" hashValue="XiZQRJQIYsd9cgHL5vUIrPHQJbExy7Qd/tlg7rVv+64VA5xVxRW5+SEd7TnFn50W4ns+C/+ShwUNijEjHRsIbA==" saltValue="0rwd59pMZVzLsplcZOuCLA==" spinCount="100000" sheet="1" objects="1" scenarios="1"/>
  <protectedRanges>
    <protectedRange sqref="C33" name="Customers Infornation"/>
    <protectedRange sqref="C6:C14 C19" name="Customers Infornation_1"/>
    <protectedRange sqref="C21 C29:C32" name="Customers Infornation_2"/>
  </protectedRanges>
  <mergeCells count="5">
    <mergeCell ref="B4:B5"/>
    <mergeCell ref="C4:C5"/>
    <mergeCell ref="B1:C1"/>
    <mergeCell ref="D4:D5"/>
    <mergeCell ref="B3:D3"/>
  </mergeCells>
  <dataValidations xWindow="797" yWindow="592" count="13">
    <dataValidation type="list" allowBlank="1" showInputMessage="1" showErrorMessage="1" promptTitle="Valet" prompt="Are cars parked by their owner or by a valet" sqref="D28" xr:uid="{11FBA429-33AB-40FD-9474-4D2D30628483}">
      <formula1>#REF!</formula1>
    </dataValidation>
    <dataValidation type="list" allowBlank="1" showInputMessage="1" showErrorMessage="1" promptTitle="Access Control" prompt="Is the Parking Lot access controlled or open parking lot" sqref="D27" xr:uid="{2629880B-6DA8-4A37-A4E6-3DEF15FFC860}">
      <formula1>#REF!</formula1>
    </dataValidation>
    <dataValidation type="list" allowBlank="1" showInputMessage="1" showErrorMessage="1" sqref="D20 D15 D22" xr:uid="{3A1A6312-C435-41FB-A4B3-249D7DCCEC23}">
      <formula1>#REF!</formula1>
    </dataValidation>
    <dataValidation type="list" allowBlank="1" showInputMessage="1" showErrorMessage="1" promptTitle="Vehicle Electric Service" prompt="Will there be dedicated electric service for electric vehicles?" sqref="D23" xr:uid="{77229738-A71D-4698-8D9D-CC90C8E90B01}">
      <formula1>#REF!</formula1>
    </dataValidation>
    <dataValidation type="list" allowBlank="1" showInputMessage="1" showErrorMessage="1" promptTitle="Private/Public Parking" prompt="Will parking be private, public, or mixed?" sqref="D26" xr:uid="{955AD085-10DF-4B7D-9C92-3E8747516BB7}">
      <formula1>#REF!</formula1>
    </dataValidation>
    <dataValidation type="list" allowBlank="1" showErrorMessage="1" promptTitle="EV Load Management" sqref="D24" xr:uid="{AA420952-11AD-4902-9866-D1A0B1D1DA1A}">
      <formula1>#REF!</formula1>
    </dataValidation>
    <dataValidation type="list" allowBlank="1" showErrorMessage="1" prompt="What is the primary motivation for installing Electric Vehicle Charging Stations?" sqref="D25" xr:uid="{B8A5CE34-F6E1-49D1-9F97-9776215326D0}">
      <formula1>#REF!</formula1>
    </dataValidation>
    <dataValidation type="list" allowBlank="1" showInputMessage="1" showErrorMessage="1" promptTitle="Affordable Housing" prompt="Does the property contain affordable housing or market rate units? If both, please choose affordable." sqref="D18" xr:uid="{58CE72C1-1D65-4C38-8BF3-11C21207E247}">
      <formula1>#REF!</formula1>
    </dataValidation>
    <dataValidation type="list" allowBlank="1" showInputMessage="1" showErrorMessage="1" promptTitle="Unit Ownership" prompt="Are units in the building owned, rented, or a combination of both?" sqref="D16:D17" xr:uid="{6A0F1AB5-A55C-4DC3-935D-138364742DB9}">
      <formula1>#REF!</formula1>
    </dataValidation>
    <dataValidation type="list" errorStyle="warning" allowBlank="1" showInputMessage="1" showErrorMessage="1" error="Note; input is not from drop down options." prompt="Please select from the drop down options." sqref="C20 C15 C22" xr:uid="{45B01456-AE27-43E1-86E6-3A27659F5517}">
      <formula1>$K15:$N15</formula1>
    </dataValidation>
    <dataValidation type="list" errorStyle="warning" allowBlank="1" showInputMessage="1" showErrorMessage="1" error="Note; input is not from drop down options." prompt="Please select from the drop down options." sqref="C16 C24 C26" xr:uid="{95699CA3-695E-49B1-AEAC-5DCA6C92B3AE}">
      <formula1>$K16:$M16</formula1>
    </dataValidation>
    <dataValidation type="list" errorStyle="warning" allowBlank="1" showInputMessage="1" showErrorMessage="1" error="Note; input is not from drop down options." prompt="Please select from the drop down options." sqref="C17 C18 C23 C27 C28" xr:uid="{B1914DCA-162E-4557-871B-80BADD1580A3}">
      <formula1>$K17:$L17</formula1>
    </dataValidation>
    <dataValidation type="list" errorStyle="warning" allowBlank="1" showInputMessage="1" showErrorMessage="1" error="Note; input is not from drop down options." prompt="Please select from the drop down options." sqref="C25" xr:uid="{7B801825-FFE5-4723-8E28-D3300A623DC5}">
      <formula1>$K25:$O25</formula1>
    </dataValidation>
  </dataValidations>
  <hyperlinks>
    <hyperlink ref="D13" r:id="rId1" xr:uid="{F2D3C88D-16F6-4790-AE88-57E15B4B2EF3}"/>
  </hyperlinks>
  <pageMargins left="0.7" right="0.7" top="0.75" bottom="0.75" header="0.3" footer="0.3"/>
  <pageSetup paperSize="3" scale="58" orientation="landscape"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4F1C0-2922-426D-B5FA-118057B58E25}">
  <sheetPr>
    <pageSetUpPr fitToPage="1"/>
  </sheetPr>
  <dimension ref="A1:K13"/>
  <sheetViews>
    <sheetView zoomScale="85" zoomScaleNormal="85" workbookViewId="0">
      <selection activeCell="F4" sqref="F4"/>
    </sheetView>
  </sheetViews>
  <sheetFormatPr defaultColWidth="9.1796875" defaultRowHeight="15" x14ac:dyDescent="0.4"/>
  <cols>
    <col min="1" max="1" width="3.453125" style="4" customWidth="1"/>
    <col min="2" max="2" width="48" style="4" customWidth="1"/>
    <col min="3" max="3" width="27" style="4" customWidth="1"/>
    <col min="4" max="4" width="25.54296875" style="4" customWidth="1"/>
    <col min="5" max="5" width="58" style="4" customWidth="1"/>
    <col min="6" max="6" width="28.453125" style="4" bestFit="1" customWidth="1"/>
    <col min="7" max="7" width="23.453125" style="4" customWidth="1"/>
    <col min="8" max="8" width="67" style="4" customWidth="1"/>
    <col min="9" max="9" width="30.453125" style="4" customWidth="1"/>
    <col min="10" max="16384" width="9.1796875" style="4"/>
  </cols>
  <sheetData>
    <row r="1" spans="1:11" s="3" customFormat="1" ht="34" customHeight="1" x14ac:dyDescent="0.4">
      <c r="A1" s="4"/>
      <c r="B1" s="300" t="s">
        <v>268</v>
      </c>
      <c r="C1" s="300"/>
      <c r="D1" s="300"/>
      <c r="E1" s="300"/>
    </row>
    <row r="2" spans="1:11" ht="68.5" customHeight="1" thickBot="1" x14ac:dyDescent="0.45">
      <c r="B2" s="301" t="s">
        <v>302</v>
      </c>
      <c r="C2" s="302"/>
      <c r="D2" s="302"/>
      <c r="E2" s="302"/>
      <c r="F2" s="302"/>
      <c r="G2" s="5"/>
      <c r="H2" s="5"/>
      <c r="I2" s="5"/>
      <c r="J2" s="5"/>
      <c r="K2" s="5"/>
    </row>
    <row r="3" spans="1:11" ht="30.75" customHeight="1" thickBot="1" x14ac:dyDescent="0.55000000000000004">
      <c r="B3" s="26" t="s">
        <v>237</v>
      </c>
      <c r="C3" s="6"/>
      <c r="D3" s="6"/>
      <c r="E3" s="6"/>
      <c r="F3" s="7" t="s">
        <v>289</v>
      </c>
      <c r="G3" s="5"/>
      <c r="H3" s="8"/>
      <c r="I3" s="8"/>
      <c r="J3" s="8"/>
      <c r="K3" s="8"/>
    </row>
    <row r="4" spans="1:11" ht="30.75" customHeight="1" thickBot="1" x14ac:dyDescent="0.55000000000000004">
      <c r="B4" s="9" t="s">
        <v>41</v>
      </c>
      <c r="C4" s="10" t="s">
        <v>42</v>
      </c>
      <c r="D4" s="11"/>
      <c r="E4" s="11"/>
      <c r="F4" s="59">
        <f>'Customer Info'!C32</f>
        <v>60</v>
      </c>
      <c r="G4" s="12" t="s">
        <v>43</v>
      </c>
      <c r="H4" s="13"/>
      <c r="I4" s="14"/>
      <c r="J4" s="8"/>
      <c r="K4" s="8"/>
    </row>
    <row r="5" spans="1:11" ht="45" customHeight="1" thickBot="1" x14ac:dyDescent="0.55000000000000004">
      <c r="B5" s="303" t="s">
        <v>81</v>
      </c>
      <c r="C5" s="304"/>
      <c r="D5" s="304"/>
      <c r="E5" s="304"/>
      <c r="F5" s="304"/>
      <c r="G5" s="305"/>
      <c r="H5" s="15"/>
      <c r="I5" s="8"/>
      <c r="J5" s="8"/>
      <c r="K5" s="8"/>
    </row>
    <row r="6" spans="1:11" ht="76" customHeight="1" thickTop="1" thickBot="1" x14ac:dyDescent="0.55000000000000004">
      <c r="B6" s="58" t="s">
        <v>44</v>
      </c>
      <c r="C6" s="294" t="s">
        <v>351</v>
      </c>
      <c r="D6" s="295"/>
      <c r="E6" s="296"/>
      <c r="F6" s="60">
        <f>ROUNDUP(F4*0.2,0.1)</f>
        <v>12</v>
      </c>
      <c r="G6" s="17" t="s">
        <v>86</v>
      </c>
      <c r="H6" s="18"/>
      <c r="I6" s="14"/>
      <c r="J6" s="8"/>
      <c r="K6" s="8"/>
    </row>
    <row r="7" spans="1:11" ht="76.5" customHeight="1" thickTop="1" thickBot="1" x14ac:dyDescent="0.55000000000000004">
      <c r="B7" s="16" t="s">
        <v>347</v>
      </c>
      <c r="C7" s="297"/>
      <c r="D7" s="298"/>
      <c r="E7" s="299"/>
      <c r="F7" s="61">
        <f>F6*40</f>
        <v>480</v>
      </c>
      <c r="G7" s="19" t="s">
        <v>61</v>
      </c>
      <c r="H7" s="8"/>
      <c r="I7" s="14"/>
      <c r="J7" s="8"/>
      <c r="K7" s="8"/>
    </row>
    <row r="8" spans="1:11" ht="20.25" customHeight="1" thickBot="1" x14ac:dyDescent="0.55000000000000004">
      <c r="B8" s="303"/>
      <c r="C8" s="304"/>
      <c r="D8" s="304"/>
      <c r="E8" s="304"/>
      <c r="F8" s="304"/>
      <c r="G8" s="305"/>
      <c r="H8" s="8"/>
      <c r="I8" s="8"/>
      <c r="J8" s="8"/>
      <c r="K8" s="8"/>
    </row>
    <row r="9" spans="1:11" ht="89.25" customHeight="1" thickBot="1" x14ac:dyDescent="0.55000000000000004">
      <c r="B9" s="20" t="s">
        <v>46</v>
      </c>
      <c r="C9" s="291" t="s">
        <v>348</v>
      </c>
      <c r="D9" s="292"/>
      <c r="E9" s="292"/>
      <c r="F9" s="62">
        <f>ROUNDUP(0.1*$F$4,0)</f>
        <v>6</v>
      </c>
      <c r="G9" s="21" t="s">
        <v>47</v>
      </c>
      <c r="H9" s="22"/>
      <c r="I9" s="22"/>
      <c r="J9" s="22"/>
      <c r="K9" s="22"/>
    </row>
    <row r="10" spans="1:11" ht="86.5" customHeight="1" thickTop="1" thickBot="1" x14ac:dyDescent="0.55000000000000004">
      <c r="B10" s="16" t="s">
        <v>341</v>
      </c>
      <c r="C10" s="293" t="s">
        <v>255</v>
      </c>
      <c r="D10" s="293"/>
      <c r="E10" s="293"/>
      <c r="F10" s="63">
        <f>ROUNDUP(0.1*$F$4,0)</f>
        <v>6</v>
      </c>
      <c r="G10" s="7" t="s">
        <v>48</v>
      </c>
      <c r="H10" s="8"/>
      <c r="I10" s="8"/>
      <c r="J10" s="5"/>
      <c r="K10" s="5"/>
    </row>
    <row r="11" spans="1:11" ht="28" customHeight="1" x14ac:dyDescent="0.5">
      <c r="C11" s="23"/>
      <c r="D11" s="23"/>
      <c r="E11" s="23"/>
      <c r="F11" s="24"/>
      <c r="G11" s="25"/>
      <c r="H11" s="8"/>
      <c r="I11" s="8"/>
      <c r="J11" s="5"/>
      <c r="K11" s="5"/>
    </row>
    <row r="12" spans="1:11" ht="16" x14ac:dyDescent="0.4">
      <c r="B12" s="64" t="s">
        <v>290</v>
      </c>
    </row>
    <row r="13" spans="1:11" ht="16" x14ac:dyDescent="0.4">
      <c r="B13" s="27" t="s">
        <v>49</v>
      </c>
    </row>
  </sheetData>
  <sheetProtection algorithmName="SHA-512" hashValue="ZLBwFRlMAMdeP9y4EO8e7RtNMgj3LNqt7kJVnCMO55DJ8jyJZf42eZWBSAfLuLw23o+D9+w0Ag06ycgt+f2bXw==" saltValue="Y1Oq5EJQ5Q+L6eXASQsFAg==" spinCount="100000" sheet="1" objects="1" scenarios="1"/>
  <mergeCells count="7">
    <mergeCell ref="C9:E9"/>
    <mergeCell ref="C10:E10"/>
    <mergeCell ref="C6:E7"/>
    <mergeCell ref="B1:E1"/>
    <mergeCell ref="B2:F2"/>
    <mergeCell ref="B5:G5"/>
    <mergeCell ref="B8:G8"/>
  </mergeCells>
  <pageMargins left="0.7" right="0.7" top="0.75" bottom="0.75" header="0.3" footer="0.3"/>
  <pageSetup paperSize="3" scale="9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E1661-7154-468E-8CCD-22A6B0E35C86}">
  <sheetPr>
    <tabColor theme="8" tint="0.79998168889431442"/>
    <pageSetUpPr fitToPage="1"/>
  </sheetPr>
  <dimension ref="A1:AO19"/>
  <sheetViews>
    <sheetView tabSelected="1" zoomScale="60" zoomScaleNormal="60" workbookViewId="0">
      <selection activeCell="D8" sqref="D8"/>
    </sheetView>
  </sheetViews>
  <sheetFormatPr defaultColWidth="9.1796875" defaultRowHeight="15" x14ac:dyDescent="0.4"/>
  <cols>
    <col min="1" max="1" width="3.1796875" style="4" customWidth="1"/>
    <col min="2" max="2" width="22.81640625" style="4" customWidth="1"/>
    <col min="3" max="3" width="80.54296875" style="4" customWidth="1"/>
    <col min="4" max="4" width="67.81640625" style="4" customWidth="1"/>
    <col min="5" max="6" width="32.81640625" style="4" customWidth="1"/>
    <col min="7" max="7" width="12.81640625" style="4" hidden="1" customWidth="1"/>
    <col min="8" max="8" width="33.1796875" style="4" hidden="1" customWidth="1"/>
    <col min="9" max="9" width="91.54296875" style="4" hidden="1" customWidth="1"/>
    <col min="10" max="10" width="0" style="4" hidden="1" customWidth="1"/>
    <col min="11" max="11" width="11.81640625" style="4" hidden="1" customWidth="1"/>
    <col min="12" max="12" width="9.81640625" style="4" hidden="1" customWidth="1"/>
    <col min="13" max="13" width="10.54296875" style="4" hidden="1" customWidth="1"/>
    <col min="14" max="15" width="9.1796875" style="4"/>
    <col min="16" max="16" width="30.453125" style="4" customWidth="1"/>
    <col min="17" max="17" width="37.54296875" style="4" customWidth="1"/>
    <col min="18" max="18" width="40.453125" style="4" customWidth="1"/>
    <col min="19" max="19" width="32.81640625" style="4" customWidth="1"/>
    <col min="20" max="20" width="28.81640625" style="4" customWidth="1"/>
    <col min="21" max="22" width="9.1796875" style="4"/>
    <col min="23" max="23" width="30.453125" style="4" customWidth="1"/>
    <col min="24" max="24" width="40.81640625" style="4" customWidth="1"/>
    <col min="25" max="25" width="42.54296875" style="4" customWidth="1"/>
    <col min="26" max="26" width="28.81640625" style="4" customWidth="1"/>
    <col min="27" max="27" width="25.1796875" style="4" customWidth="1"/>
    <col min="28" max="29" width="9.1796875" style="4"/>
    <col min="30" max="30" width="42" style="4" customWidth="1"/>
    <col min="31" max="31" width="62" style="4" customWidth="1"/>
    <col min="32" max="32" width="42.453125" style="4" customWidth="1"/>
    <col min="33" max="33" width="41.54296875" style="4" customWidth="1"/>
    <col min="34" max="34" width="36.453125" style="4" customWidth="1"/>
    <col min="35" max="36" width="9.1796875" style="4"/>
    <col min="37" max="37" width="52.1796875" style="4" customWidth="1"/>
    <col min="38" max="38" width="70.54296875" style="4" customWidth="1"/>
    <col min="39" max="39" width="29.1796875" style="4" customWidth="1"/>
    <col min="40" max="40" width="34" style="4" customWidth="1"/>
    <col min="41" max="41" width="34.81640625" style="4" customWidth="1"/>
    <col min="42" max="16384" width="9.1796875" style="4"/>
  </cols>
  <sheetData>
    <row r="1" spans="1:41" s="3" customFormat="1" ht="36.65" customHeight="1" thickBot="1" x14ac:dyDescent="0.45">
      <c r="A1" s="4"/>
      <c r="B1" s="108" t="s">
        <v>238</v>
      </c>
      <c r="C1" s="109"/>
      <c r="D1" s="109"/>
      <c r="E1" s="109"/>
      <c r="F1" s="110"/>
    </row>
    <row r="2" spans="1:41" ht="32.5" customHeight="1" x14ac:dyDescent="0.4">
      <c r="A2" s="28"/>
      <c r="B2" s="332" t="s">
        <v>291</v>
      </c>
      <c r="C2" s="333"/>
      <c r="D2" s="333"/>
      <c r="E2" s="111"/>
      <c r="F2" s="2"/>
      <c r="P2" s="324" t="s">
        <v>326</v>
      </c>
      <c r="Q2" s="325"/>
      <c r="R2" s="325"/>
      <c r="S2" s="325"/>
      <c r="T2" s="326"/>
      <c r="W2" s="308" t="s">
        <v>327</v>
      </c>
      <c r="X2" s="309"/>
      <c r="Y2" s="309"/>
      <c r="Z2" s="309"/>
      <c r="AA2" s="310"/>
      <c r="AD2" s="308" t="s">
        <v>328</v>
      </c>
      <c r="AE2" s="309"/>
      <c r="AF2" s="309"/>
      <c r="AG2" s="309"/>
      <c r="AH2" s="310"/>
      <c r="AK2" s="308" t="s">
        <v>329</v>
      </c>
      <c r="AL2" s="309"/>
      <c r="AM2" s="309"/>
      <c r="AN2" s="309"/>
      <c r="AO2" s="310"/>
    </row>
    <row r="3" spans="1:41" ht="17.25" customHeight="1" thickBot="1" x14ac:dyDescent="0.45">
      <c r="B3" s="112"/>
      <c r="C3" s="113"/>
      <c r="D3" s="113"/>
      <c r="E3" s="113"/>
      <c r="F3" s="113"/>
      <c r="K3" s="96">
        <v>0.1</v>
      </c>
      <c r="L3" s="96">
        <v>0.2</v>
      </c>
      <c r="P3" s="327"/>
      <c r="Q3" s="328"/>
      <c r="R3" s="328"/>
      <c r="S3" s="328"/>
      <c r="T3" s="329"/>
      <c r="W3" s="311"/>
      <c r="X3" s="312"/>
      <c r="Y3" s="312"/>
      <c r="Z3" s="312"/>
      <c r="AA3" s="313"/>
      <c r="AD3" s="311"/>
      <c r="AE3" s="312"/>
      <c r="AF3" s="312"/>
      <c r="AG3" s="312"/>
      <c r="AH3" s="313"/>
      <c r="AK3" s="311"/>
      <c r="AL3" s="312"/>
      <c r="AM3" s="312"/>
      <c r="AN3" s="312"/>
      <c r="AO3" s="313"/>
    </row>
    <row r="4" spans="1:41" ht="26.15" customHeight="1" thickTop="1" thickBot="1" x14ac:dyDescent="0.55000000000000004">
      <c r="B4" s="114" t="s">
        <v>306</v>
      </c>
      <c r="C4" s="115"/>
      <c r="D4" s="314" t="s">
        <v>305</v>
      </c>
      <c r="E4" s="315"/>
      <c r="F4" s="116">
        <f>'Customer Info'!$C$32</f>
        <v>60</v>
      </c>
      <c r="H4" s="4" t="s">
        <v>84</v>
      </c>
      <c r="K4" s="4">
        <f>0.1*F4</f>
        <v>6</v>
      </c>
      <c r="L4" s="4">
        <f>0.2*F4</f>
        <v>12</v>
      </c>
      <c r="P4" s="222" t="s">
        <v>306</v>
      </c>
      <c r="Q4" s="223"/>
      <c r="R4" s="330" t="s">
        <v>305</v>
      </c>
      <c r="S4" s="331"/>
      <c r="T4" s="224">
        <f>'Customer Info'!$C$32</f>
        <v>60</v>
      </c>
      <c r="W4" s="114" t="s">
        <v>306</v>
      </c>
      <c r="X4" s="115"/>
      <c r="Y4" s="314" t="s">
        <v>305</v>
      </c>
      <c r="Z4" s="315"/>
      <c r="AA4" s="116">
        <f>'Customer Info'!$C$32</f>
        <v>60</v>
      </c>
      <c r="AD4" s="114" t="s">
        <v>306</v>
      </c>
      <c r="AE4" s="115"/>
      <c r="AF4" s="314" t="s">
        <v>305</v>
      </c>
      <c r="AG4" s="315"/>
      <c r="AH4" s="116">
        <f>'Customer Info'!$C$32</f>
        <v>60</v>
      </c>
      <c r="AK4" s="114" t="s">
        <v>306</v>
      </c>
      <c r="AL4" s="115"/>
      <c r="AM4" s="314" t="s">
        <v>305</v>
      </c>
      <c r="AN4" s="315"/>
      <c r="AO4" s="116">
        <f>'Customer Info'!$C$32</f>
        <v>60</v>
      </c>
    </row>
    <row r="5" spans="1:41" ht="58.5" customHeight="1" thickTop="1" thickBot="1" x14ac:dyDescent="0.55000000000000004">
      <c r="B5" s="316" t="s">
        <v>304</v>
      </c>
      <c r="C5" s="317"/>
      <c r="D5" s="314"/>
      <c r="E5" s="315"/>
      <c r="F5" s="117">
        <f>'Customer Info'!$C$18</f>
        <v>0</v>
      </c>
      <c r="P5" s="316" t="s">
        <v>304</v>
      </c>
      <c r="Q5" s="317"/>
      <c r="R5" s="314"/>
      <c r="S5" s="315"/>
      <c r="T5" s="117">
        <f>'Customer Info'!$C$18</f>
        <v>0</v>
      </c>
      <c r="W5" s="316" t="s">
        <v>304</v>
      </c>
      <c r="X5" s="317"/>
      <c r="Y5" s="314"/>
      <c r="Z5" s="315"/>
      <c r="AA5" s="117">
        <f>'Customer Info'!$C$18</f>
        <v>0</v>
      </c>
      <c r="AD5" s="316" t="s">
        <v>304</v>
      </c>
      <c r="AE5" s="317"/>
      <c r="AF5" s="314"/>
      <c r="AG5" s="315"/>
      <c r="AH5" s="117">
        <f>'Customer Info'!$C$18</f>
        <v>0</v>
      </c>
      <c r="AK5" s="316" t="s">
        <v>304</v>
      </c>
      <c r="AL5" s="317"/>
      <c r="AM5" s="314"/>
      <c r="AN5" s="315"/>
      <c r="AO5" s="117">
        <f>'Customer Info'!$C$18</f>
        <v>0</v>
      </c>
    </row>
    <row r="6" spans="1:41" ht="17.25" customHeight="1" thickTop="1" thickBot="1" x14ac:dyDescent="0.45">
      <c r="B6" s="318"/>
      <c r="C6" s="319"/>
      <c r="D6" s="319"/>
      <c r="E6" s="319"/>
      <c r="F6" s="320"/>
      <c r="P6" s="318"/>
      <c r="Q6" s="319"/>
      <c r="R6" s="319"/>
      <c r="S6" s="319"/>
      <c r="T6" s="320"/>
      <c r="W6" s="318"/>
      <c r="X6" s="319"/>
      <c r="Y6" s="319"/>
      <c r="Z6" s="319"/>
      <c r="AA6" s="320"/>
      <c r="AD6" s="318"/>
      <c r="AE6" s="319"/>
      <c r="AF6" s="319"/>
      <c r="AG6" s="319"/>
      <c r="AH6" s="320"/>
      <c r="AK6" s="318"/>
      <c r="AL6" s="319"/>
      <c r="AM6" s="319"/>
      <c r="AN6" s="319"/>
      <c r="AO6" s="320"/>
    </row>
    <row r="7" spans="1:41" ht="65.5" customHeight="1" thickTop="1" thickBot="1" x14ac:dyDescent="0.45">
      <c r="B7" s="118" t="s">
        <v>50</v>
      </c>
      <c r="C7" s="118" t="s">
        <v>51</v>
      </c>
      <c r="D7" s="118" t="s">
        <v>60</v>
      </c>
      <c r="E7" s="118" t="s">
        <v>320</v>
      </c>
      <c r="F7" s="118" t="s">
        <v>52</v>
      </c>
      <c r="H7" s="97" t="s">
        <v>53</v>
      </c>
      <c r="K7" s="4" t="s">
        <v>21</v>
      </c>
      <c r="L7" s="4" t="s">
        <v>22</v>
      </c>
      <c r="P7" s="118" t="s">
        <v>50</v>
      </c>
      <c r="Q7" s="118" t="s">
        <v>51</v>
      </c>
      <c r="R7" s="118" t="s">
        <v>60</v>
      </c>
      <c r="S7" s="118" t="s">
        <v>320</v>
      </c>
      <c r="T7" s="118" t="s">
        <v>52</v>
      </c>
      <c r="W7" s="118" t="s">
        <v>50</v>
      </c>
      <c r="X7" s="118" t="s">
        <v>51</v>
      </c>
      <c r="Y7" s="118" t="s">
        <v>60</v>
      </c>
      <c r="Z7" s="118" t="s">
        <v>320</v>
      </c>
      <c r="AA7" s="118" t="s">
        <v>52</v>
      </c>
      <c r="AD7" s="118" t="s">
        <v>50</v>
      </c>
      <c r="AE7" s="118" t="s">
        <v>51</v>
      </c>
      <c r="AF7" s="118" t="s">
        <v>60</v>
      </c>
      <c r="AG7" s="118" t="s">
        <v>320</v>
      </c>
      <c r="AH7" s="118" t="s">
        <v>52</v>
      </c>
      <c r="AK7" s="118" t="s">
        <v>50</v>
      </c>
      <c r="AL7" s="118" t="s">
        <v>51</v>
      </c>
      <c r="AM7" s="118" t="s">
        <v>60</v>
      </c>
      <c r="AN7" s="118" t="s">
        <v>320</v>
      </c>
      <c r="AO7" s="118" t="s">
        <v>52</v>
      </c>
    </row>
    <row r="8" spans="1:41" ht="268.5" customHeight="1" thickTop="1" thickBot="1" x14ac:dyDescent="0.45">
      <c r="A8" s="98"/>
      <c r="B8" s="321" t="s">
        <v>82</v>
      </c>
      <c r="C8" s="323" t="s">
        <v>349</v>
      </c>
      <c r="D8" s="119"/>
      <c r="E8" s="99">
        <v>0</v>
      </c>
      <c r="F8" s="133">
        <f>IF(F5="Affordable",IF(E8&lt;=ROUNDUP(0.1*F4,0),E8*2400,(ROUNDUP(0.1*F4,0)*2400)+((E8-ROUNDUP(0.1*F4,0))*3600)),IF(E8&lt;=ROUNDUP(0.1*F4,0),E8*2000,(ROUNDUP(0.1*F4,0)*2000)+((E8-ROUNDUP(0.1*F4,0))*3000)))</f>
        <v>0</v>
      </c>
      <c r="G8" s="4">
        <f>IF(F5="Market Rate",K8,L8)</f>
        <v>0</v>
      </c>
      <c r="H8" s="100">
        <f>40*E8</f>
        <v>0</v>
      </c>
      <c r="I8" s="4" t="s">
        <v>54</v>
      </c>
      <c r="K8" s="4">
        <f>IF(E8&lt;=(0.1*F4),2000*E8,(((F4*0.1)*2000)+(E8-(0.1*F4))*3000))</f>
        <v>0</v>
      </c>
      <c r="L8" s="4">
        <f>IF(E8&lt;=(0.1*F4),2400*E8,(((F4*0.1)*2400)+(E8-(0.1*F4))*3600))</f>
        <v>0</v>
      </c>
      <c r="M8" s="4">
        <f>IF(F5="Affordable",IF(E8&lt;=0.1*F4,E8*2400,(0.1*F4*2400)+((E8-0.1*F4)*3600)),IF(E8&lt;=0.1*F4,E8*2000,(0.1*F4*2000)+((E8-0.1*F4)*3000)))</f>
        <v>0</v>
      </c>
      <c r="P8" s="321" t="s">
        <v>82</v>
      </c>
      <c r="Q8" s="323" t="s">
        <v>286</v>
      </c>
      <c r="R8" s="119"/>
      <c r="S8" s="99">
        <v>0</v>
      </c>
      <c r="T8" s="133">
        <f>IF(T5="Affordable",IF(S8&lt;=ROUNDUP(0.1*T4,0),S8*2400,(ROUNDUP(0.1*T4,0)*2400)+((S8-ROUNDUP(0.1*T4,0))*3600)),IF(S8&lt;=ROUNDUP(0.1*T4,0),S8*2000,(ROUNDUP(0.1*T4,0)*2000)+((S8-ROUNDUP(0.1*T4,0))*3000)))</f>
        <v>0</v>
      </c>
      <c r="W8" s="321" t="s">
        <v>82</v>
      </c>
      <c r="X8" s="323" t="s">
        <v>286</v>
      </c>
      <c r="Y8" s="119"/>
      <c r="Z8" s="99">
        <v>0</v>
      </c>
      <c r="AA8" s="133">
        <f>IF(AA5="Affordable",IF(Z8&lt;=ROUNDUP(0.1*AA4,0),Z8*2400,(ROUNDUP(0.1*AA4,0)*2400)+((Z8-ROUNDUP(0.1*AA4,0))*3600)),IF(Z8&lt;=ROUNDUP(0.1*AA4,0),Z8*2000,(ROUNDUP(0.1*AA4,0)*2000)+((Z8-ROUNDUP(0.1*AA4,0))*3000)))</f>
        <v>0</v>
      </c>
      <c r="AD8" s="321" t="s">
        <v>82</v>
      </c>
      <c r="AE8" s="323" t="s">
        <v>286</v>
      </c>
      <c r="AF8" s="119"/>
      <c r="AG8" s="99">
        <v>0</v>
      </c>
      <c r="AH8" s="133">
        <f>IF(AH5="Affordable",IF(AG8&lt;=ROUNDUP(0.1*AH4,0),AG8*2400,(ROUNDUP(0.1*AH4,0)*2400)+((AG8-ROUNDUP(0.1*AH4,0))*3600)),IF(AG8&lt;=ROUNDUP(0.1*AH4,0),AG8*2000,(ROUNDUP(0.1*AH4,0)*2000)+((AG8-ROUNDUP(0.1*AH4,0))*3000)))</f>
        <v>0</v>
      </c>
      <c r="AK8" s="321" t="s">
        <v>82</v>
      </c>
      <c r="AL8" s="323" t="s">
        <v>286</v>
      </c>
      <c r="AM8" s="119"/>
      <c r="AN8" s="99">
        <v>0</v>
      </c>
      <c r="AO8" s="133">
        <f>IF(AO5="Affordable",IF(AN8&lt;=ROUNDUP(0.1*AO4,0),AN8*2400,(ROUNDUP(0.1*AO4,0)*2400)+((AN8-ROUNDUP(0.1*AO4,0))*3600)),IF(AN8&lt;=ROUNDUP(0.1*AO4,0),AN8*2000,(ROUNDUP(0.1*AO4,0)*2000)+((AN8-ROUNDUP(0.1*AO4,0))*3000)))</f>
        <v>0</v>
      </c>
    </row>
    <row r="9" spans="1:41" ht="96" thickTop="1" thickBot="1" x14ac:dyDescent="0.45">
      <c r="A9" s="98"/>
      <c r="B9" s="322"/>
      <c r="C9" s="322"/>
      <c r="D9" s="120" t="s">
        <v>303</v>
      </c>
      <c r="E9" s="99">
        <v>0</v>
      </c>
      <c r="F9" s="117">
        <f>IF(F5="Affordable",IF(E9&lt;=ROUNDUP(0.1*F4,0),E9*1200,(ROUNDUP(0.1*F4,0)*1200)+((E9-ROUNDUP(0.1*F4,0))*1200)),IF(E9&lt;=ROUNDUP(0.1*F4,0),E9*1000,(ROUNDUP(0.1*F4,0)*1000)+((E9-ROUNDUP(0.1*F4,0))*1000)))</f>
        <v>0</v>
      </c>
      <c r="H9" s="100"/>
      <c r="P9" s="322"/>
      <c r="Q9" s="322"/>
      <c r="R9" s="120" t="s">
        <v>303</v>
      </c>
      <c r="S9" s="99">
        <v>0</v>
      </c>
      <c r="T9" s="117">
        <f>IF(T5="Affordable",IF(S9&lt;=ROUNDUP(0.1*T4,0),S9*1200,(ROUNDUP(0.1*T4,0)*1200)+((S9-ROUNDUP(0.1*T4,0))*1200)),IF(S9&lt;=ROUNDUP(0.1*T4,0),S9*1000,(ROUNDUP(0.1*T4,0)*1000)+((S9-ROUNDUP(0.1*T4,0))*1000)))</f>
        <v>0</v>
      </c>
      <c r="W9" s="322"/>
      <c r="X9" s="322"/>
      <c r="Y9" s="120" t="s">
        <v>303</v>
      </c>
      <c r="Z9" s="99">
        <v>0</v>
      </c>
      <c r="AA9" s="117">
        <f>IF(AA5="Affordable",IF(Z9&lt;=ROUNDUP(0.1*AA4,0),Z9*1200,(ROUNDUP(0.1*AA4,0)*1200)+((Z9-ROUNDUP(0.1*AA4,0))*1200)),IF(Z9&lt;=ROUNDUP(0.1*AA4,0),Z9*1000,(ROUNDUP(0.1*AA4,0)*1000)+((Z9-ROUNDUP(0.1*AA4,0))*1000)))</f>
        <v>0</v>
      </c>
      <c r="AD9" s="322"/>
      <c r="AE9" s="322"/>
      <c r="AF9" s="120" t="s">
        <v>303</v>
      </c>
      <c r="AG9" s="99">
        <v>0</v>
      </c>
      <c r="AH9" s="117">
        <f>IF(AH5="Affordable",IF(AG9&lt;=ROUNDUP(0.1*AH4,0),AG9*1200,(ROUNDUP(0.1*AH4,0)*1200)+((AG9-ROUNDUP(0.1*AH4,0))*1200)),IF(AG9&lt;=ROUNDUP(0.1*AH4,0),AG9*1000,(ROUNDUP(0.1*AH4,0)*1000)+((AG9-ROUNDUP(0.1*AH4,0))*1000)))</f>
        <v>0</v>
      </c>
      <c r="AK9" s="322"/>
      <c r="AL9" s="322"/>
      <c r="AM9" s="120" t="s">
        <v>303</v>
      </c>
      <c r="AN9" s="99">
        <v>0</v>
      </c>
      <c r="AO9" s="117">
        <f>IF(AO5="Affordable",IF(AN9&lt;=ROUNDUP(0.1*AO4,0),AN9*1200,(ROUNDUP(0.1*AO4,0)*1200)+((AN9-ROUNDUP(0.1*AO4,0))*1200)),IF(AN9&lt;=ROUNDUP(0.1*AO4,0),AN9*1000,(ROUNDUP(0.1*AO4,0)*1000)+((AN9-ROUNDUP(0.1*AO4,0))*1000)))</f>
        <v>0</v>
      </c>
    </row>
    <row r="10" spans="1:41" ht="118.5" customHeight="1" thickTop="1" thickBot="1" x14ac:dyDescent="0.45">
      <c r="A10" s="98"/>
      <c r="B10" s="121" t="s">
        <v>55</v>
      </c>
      <c r="C10" s="120" t="s">
        <v>321</v>
      </c>
      <c r="D10" s="119"/>
      <c r="E10" s="99">
        <v>0</v>
      </c>
      <c r="F10" s="117">
        <f>IF('Customer Info'!C18="affordable",600*E10,500*Incentives!E10)</f>
        <v>0</v>
      </c>
      <c r="H10" s="100">
        <f>E10*40</f>
        <v>0</v>
      </c>
      <c r="I10" s="101" t="s">
        <v>83</v>
      </c>
      <c r="K10" s="4">
        <f>IF(E8&lt;=(0.1*F4),2000*E8,(((F4*0.1)*2000)+(E8-(0.1*F4))*3000))</f>
        <v>0</v>
      </c>
      <c r="L10" s="4">
        <f>IF(F8&lt;=(0.1*G4),2000*F8,(((G4*0.1)*2000)+(F8-(0.1*G4))*3000))</f>
        <v>0</v>
      </c>
      <c r="P10" s="121" t="s">
        <v>55</v>
      </c>
      <c r="Q10" s="120" t="s">
        <v>321</v>
      </c>
      <c r="R10" s="119"/>
      <c r="S10" s="99">
        <v>0</v>
      </c>
      <c r="T10" s="117">
        <f>IF('Customer Info'!Q18="affordable",600*S10,500*Incentives!S10)</f>
        <v>0</v>
      </c>
      <c r="W10" s="121" t="s">
        <v>55</v>
      </c>
      <c r="X10" s="120" t="s">
        <v>321</v>
      </c>
      <c r="Y10" s="119"/>
      <c r="Z10" s="99">
        <v>0</v>
      </c>
      <c r="AA10" s="117">
        <f>IF('Customer Info'!X18="affordable",600*Z10,500*Incentives!Z10)</f>
        <v>0</v>
      </c>
      <c r="AD10" s="121" t="s">
        <v>55</v>
      </c>
      <c r="AE10" s="120" t="s">
        <v>321</v>
      </c>
      <c r="AF10" s="119"/>
      <c r="AG10" s="99">
        <v>0</v>
      </c>
      <c r="AH10" s="117">
        <f>IF('Customer Info'!AE18="affordable",600*AG10,500*Incentives!AG10)</f>
        <v>0</v>
      </c>
      <c r="AK10" s="121" t="s">
        <v>55</v>
      </c>
      <c r="AL10" s="120" t="s">
        <v>321</v>
      </c>
      <c r="AM10" s="119"/>
      <c r="AN10" s="99">
        <v>0</v>
      </c>
      <c r="AO10" s="117">
        <f>IF('Customer Info'!AL18="affordable",600*AN10,500*Incentives!AN10)</f>
        <v>0</v>
      </c>
    </row>
    <row r="11" spans="1:41" ht="242.25" customHeight="1" thickTop="1" thickBot="1" x14ac:dyDescent="0.55000000000000004">
      <c r="A11" s="102"/>
      <c r="B11" s="121" t="s">
        <v>56</v>
      </c>
      <c r="C11" s="122" t="s">
        <v>319</v>
      </c>
      <c r="D11" s="123" t="s">
        <v>256</v>
      </c>
      <c r="E11" s="99">
        <v>0</v>
      </c>
      <c r="F11" s="117">
        <f>IF(F5="market rate",1000*E11,1200*E11)</f>
        <v>0</v>
      </c>
      <c r="H11" s="100">
        <f>E11*20</f>
        <v>0</v>
      </c>
      <c r="I11" s="101" t="s">
        <v>57</v>
      </c>
      <c r="P11" s="121" t="s">
        <v>56</v>
      </c>
      <c r="Q11" s="122" t="s">
        <v>319</v>
      </c>
      <c r="R11" s="123" t="s">
        <v>256</v>
      </c>
      <c r="S11" s="99">
        <v>0</v>
      </c>
      <c r="T11" s="117">
        <f>IF(T5="market rate",1000*S11,1200*S11)</f>
        <v>0</v>
      </c>
      <c r="W11" s="121" t="s">
        <v>56</v>
      </c>
      <c r="X11" s="122" t="s">
        <v>319</v>
      </c>
      <c r="Y11" s="123" t="s">
        <v>256</v>
      </c>
      <c r="Z11" s="99">
        <v>0</v>
      </c>
      <c r="AA11" s="117">
        <f>IF(AA5="market rate",1000*Z11,1200*Z11)</f>
        <v>0</v>
      </c>
      <c r="AD11" s="121" t="s">
        <v>56</v>
      </c>
      <c r="AE11" s="122" t="s">
        <v>319</v>
      </c>
      <c r="AF11" s="123" t="s">
        <v>256</v>
      </c>
      <c r="AG11" s="99">
        <v>0</v>
      </c>
      <c r="AH11" s="117">
        <f>IF(AH5="market rate",1000*AG11,1200*AG11)</f>
        <v>0</v>
      </c>
      <c r="AK11" s="121" t="s">
        <v>56</v>
      </c>
      <c r="AL11" s="122" t="s">
        <v>319</v>
      </c>
      <c r="AM11" s="123" t="s">
        <v>256</v>
      </c>
      <c r="AN11" s="99">
        <v>0</v>
      </c>
      <c r="AO11" s="117">
        <f>IF(AO5="market rate",1000*AN11,1200*AN11)</f>
        <v>0</v>
      </c>
    </row>
    <row r="12" spans="1:41" ht="107.15" customHeight="1" thickTop="1" thickBot="1" x14ac:dyDescent="0.55000000000000004">
      <c r="A12" s="102"/>
      <c r="B12" s="124" t="s">
        <v>58</v>
      </c>
      <c r="C12" s="123" t="s">
        <v>322</v>
      </c>
      <c r="D12" s="125" t="s">
        <v>323</v>
      </c>
      <c r="E12" s="99">
        <v>0</v>
      </c>
      <c r="F12" s="134">
        <f>IF('Customer Info'!C18="affordable",300*E12,250*Incentives!E12)</f>
        <v>0</v>
      </c>
      <c r="H12" s="100">
        <v>0</v>
      </c>
      <c r="I12" s="4" t="s">
        <v>59</v>
      </c>
      <c r="P12" s="124" t="s">
        <v>58</v>
      </c>
      <c r="Q12" s="123" t="s">
        <v>322</v>
      </c>
      <c r="R12" s="125" t="s">
        <v>323</v>
      </c>
      <c r="S12" s="99">
        <v>0</v>
      </c>
      <c r="T12" s="134">
        <f>IF('Customer Info'!Q18="affordable",300*S12,250*Incentives!S12)</f>
        <v>0</v>
      </c>
      <c r="W12" s="124" t="s">
        <v>58</v>
      </c>
      <c r="X12" s="123" t="s">
        <v>322</v>
      </c>
      <c r="Y12" s="125" t="s">
        <v>323</v>
      </c>
      <c r="Z12" s="99">
        <v>0</v>
      </c>
      <c r="AA12" s="134">
        <f>IF('Customer Info'!X18="affordable",300*Z12,250*Incentives!Z12)</f>
        <v>0</v>
      </c>
      <c r="AD12" s="124" t="s">
        <v>58</v>
      </c>
      <c r="AE12" s="123" t="s">
        <v>322</v>
      </c>
      <c r="AF12" s="125" t="s">
        <v>323</v>
      </c>
      <c r="AG12" s="99">
        <v>0</v>
      </c>
      <c r="AH12" s="134">
        <f>IF('Customer Info'!AE18="affordable",300*AG12,250*Incentives!AG12)</f>
        <v>0</v>
      </c>
      <c r="AK12" s="124" t="s">
        <v>58</v>
      </c>
      <c r="AL12" s="123" t="s">
        <v>322</v>
      </c>
      <c r="AM12" s="125" t="s">
        <v>323</v>
      </c>
      <c r="AN12" s="99">
        <v>0</v>
      </c>
      <c r="AO12" s="134">
        <f>IF('Customer Info'!AL18="affordable",300*AN12,250*Incentives!AN12)</f>
        <v>0</v>
      </c>
    </row>
    <row r="13" spans="1:41" ht="20" thickTop="1" thickBot="1" x14ac:dyDescent="0.55000000000000004">
      <c r="B13" s="126"/>
      <c r="C13" s="126"/>
      <c r="D13" s="126"/>
      <c r="E13" s="126"/>
      <c r="F13" s="127"/>
      <c r="H13" s="103"/>
      <c r="P13" s="126"/>
      <c r="Q13" s="126"/>
      <c r="R13" s="126"/>
      <c r="S13" s="126"/>
      <c r="T13" s="127"/>
      <c r="W13" s="126"/>
      <c r="X13" s="126"/>
      <c r="Y13" s="126"/>
      <c r="Z13" s="126"/>
      <c r="AA13" s="127"/>
      <c r="AD13" s="126"/>
      <c r="AE13" s="126"/>
      <c r="AF13" s="126"/>
      <c r="AG13" s="126"/>
      <c r="AH13" s="127"/>
      <c r="AK13" s="126"/>
      <c r="AL13" s="126"/>
      <c r="AM13" s="126"/>
      <c r="AN13" s="126"/>
      <c r="AO13" s="127"/>
    </row>
    <row r="14" spans="1:41" ht="60" customHeight="1" thickTop="1" thickBot="1" x14ac:dyDescent="0.55000000000000004">
      <c r="B14" s="126"/>
      <c r="C14" s="126"/>
      <c r="D14" s="124" t="s">
        <v>318</v>
      </c>
      <c r="E14" s="214">
        <f>IF(IF(E8&gt;ROUNDUP(F4*0.1,0),E8,ROUNDUP(F4*0.1,0))+(SUM(E10:E12))&gt;F4,"Total Stalls Incentivized + Code's EV-Ready Stalls Is Too High",SUM(E8:E12))</f>
        <v>0</v>
      </c>
      <c r="F14" s="128">
        <f>IF(F5="Affordable",IF(SUM(F8:F12)&gt;120000,"Incentive Amount Cannot Exceed $120,000",MIN(SUM(F8:F12),120000)),IF(SUM(F8:F12)&gt;100000,"Incentive Amount Cannot Exceed $100,000",MIN(SUM(F8:F12),100000)))</f>
        <v>0</v>
      </c>
      <c r="H14" s="100">
        <f>SUM(H8:H12)</f>
        <v>0</v>
      </c>
      <c r="I14" s="104" t="e">
        <f>IF(SUM(H8:H12)&lt;(#REF!+1),"Good News! "&amp;SUM(H8:H12) &amp;" amps (Amount Required by Code)"&amp;" &lt; "&amp;#REF! &amp;"amps ","Uh Oh! "&amp;SUM(H8:H12) &amp;" amps "&amp;" &gt; "&amp;#REF! &amp;" amps (Amount Required by Code)")</f>
        <v>#REF!</v>
      </c>
      <c r="P14" s="126"/>
      <c r="Q14" s="126"/>
      <c r="R14" s="124" t="s">
        <v>318</v>
      </c>
      <c r="S14" s="214">
        <f>IF(IF(S8&gt;ROUNDUP(T4*0.1,0),S8,ROUNDUP(T4*0.1,0))+(SUM(S10:S12))&gt;T4,"Total Stalls Incentivized + Code's EV-Ready Stalls Is Too High",SUM(S8:S12))</f>
        <v>0</v>
      </c>
      <c r="T14" s="128">
        <f>IF(T5="Affordable",IF(SUM(T8:T12)&gt;120000,"Incentive Amount Cannot Exceed $120,000",MIN(SUM(T8:T12),120000)),IF(SUM(T8:T12)&gt;100000,"Incentive Amount Cannot Exceed $100,000",MIN(SUM(T8:T12),100000)))</f>
        <v>0</v>
      </c>
      <c r="W14" s="126"/>
      <c r="X14" s="126"/>
      <c r="Y14" s="124" t="s">
        <v>318</v>
      </c>
      <c r="Z14" s="214">
        <f>IF(IF(Z8&gt;ROUNDUP(AA4*0.1,0),Z8,ROUNDUP(AA4*0.1,0))+(SUM(Z10:Z12))&gt;AA4,"Total Stalls Incentivized + Code's EV-Ready Stalls Is Too High",SUM(Z8:Z12))</f>
        <v>0</v>
      </c>
      <c r="AA14" s="128">
        <f>IF(AA5="Affordable",IF(SUM(AA8:AA12)&gt;120000,"Incentive Amount Cannot Exceed $120,000",MIN(SUM(AA8:AA12),120000)),IF(SUM(AA8:AA12)&gt;100000,"Incentive Amount Cannot Exceed $100,000",MIN(SUM(AA8:AA12),100000)))</f>
        <v>0</v>
      </c>
      <c r="AD14" s="126"/>
      <c r="AE14" s="126"/>
      <c r="AF14" s="124" t="s">
        <v>318</v>
      </c>
      <c r="AG14" s="214">
        <f>IF(IF(AG8&gt;ROUNDUP(AH4*0.1,0),AG8,ROUNDUP(AH4*0.1,0))+(SUM(AG10:AG12))&gt;AH4,"Total Stalls Incentivized + Code's EV-Ready Stalls Is Too High",SUM(AG8:AG12))</f>
        <v>0</v>
      </c>
      <c r="AH14" s="128">
        <f>IF(AH5="Affordable",IF(SUM(AH8:AH12)&gt;120000,"Incentive Amount Cannot Exceed $120,000",MIN(SUM(AH8:AH12),120000)),IF(SUM(AH8:AH12)&gt;100000,"Incentive Amount Cannot Exceed $100,000",MIN(SUM(AH8:AH12),100000)))</f>
        <v>0</v>
      </c>
      <c r="AK14" s="126"/>
      <c r="AL14" s="126"/>
      <c r="AM14" s="124" t="s">
        <v>318</v>
      </c>
      <c r="AN14" s="214">
        <f>IF(IF(AN8&gt;ROUNDUP(AO4*0.1,0),AN8,ROUNDUP(AO4*0.1,0))+(SUM(AN10:AN12))&gt;AO4,"Total Stalls Incentivized + Code's EV-Ready Stalls Is Too High",SUM(AN8:AN12))</f>
        <v>0</v>
      </c>
      <c r="AO14" s="128">
        <f>IF(AO5="Affordable",IF(SUM(AO8:AO12)&gt;120000,"Incentive Amount Cannot Exceed $120,000",MIN(SUM(AO8:AO12),120000)),IF(SUM(AO8:AO12)&gt;100000,"Incentive Amount Cannot Exceed $100,000",MIN(SUM(AO8:AO12),100000)))</f>
        <v>0</v>
      </c>
    </row>
    <row r="15" spans="1:41" ht="19.5" thickTop="1" x14ac:dyDescent="0.4">
      <c r="A15" s="102"/>
      <c r="B15" s="129"/>
      <c r="C15" s="130"/>
      <c r="D15" s="131"/>
      <c r="E15" s="131"/>
      <c r="F15" s="132"/>
      <c r="I15" s="105"/>
      <c r="P15" s="129"/>
      <c r="Q15" s="130"/>
      <c r="R15" s="131"/>
      <c r="S15" s="131"/>
      <c r="T15" s="132"/>
      <c r="W15" s="129"/>
      <c r="X15" s="130"/>
      <c r="Y15" s="131"/>
      <c r="Z15" s="131"/>
      <c r="AA15" s="132"/>
      <c r="AD15" s="129"/>
      <c r="AE15" s="130"/>
      <c r="AF15" s="131"/>
      <c r="AG15" s="131"/>
      <c r="AH15" s="132"/>
      <c r="AK15" s="129"/>
      <c r="AL15" s="130"/>
      <c r="AM15" s="131"/>
      <c r="AN15" s="131"/>
      <c r="AO15" s="132"/>
    </row>
    <row r="16" spans="1:41" ht="80.25" customHeight="1" x14ac:dyDescent="0.5">
      <c r="A16" s="102"/>
      <c r="B16" s="306" t="s">
        <v>324</v>
      </c>
      <c r="C16" s="307"/>
      <c r="D16" s="307"/>
      <c r="E16" s="307"/>
      <c r="F16" s="307"/>
      <c r="I16" s="105"/>
      <c r="P16" s="306" t="s">
        <v>324</v>
      </c>
      <c r="Q16" s="307"/>
      <c r="R16" s="307"/>
      <c r="S16" s="307"/>
      <c r="T16" s="307"/>
      <c r="W16" s="306" t="s">
        <v>324</v>
      </c>
      <c r="X16" s="307"/>
      <c r="Y16" s="307"/>
      <c r="Z16" s="307"/>
      <c r="AA16" s="307"/>
      <c r="AD16" s="306" t="s">
        <v>324</v>
      </c>
      <c r="AE16" s="307"/>
      <c r="AF16" s="307"/>
      <c r="AG16" s="307"/>
      <c r="AH16" s="307"/>
      <c r="AK16" s="306" t="s">
        <v>324</v>
      </c>
      <c r="AL16" s="307"/>
      <c r="AM16" s="307"/>
      <c r="AN16" s="307"/>
      <c r="AO16" s="307"/>
    </row>
    <row r="17" spans="2:5" ht="66" customHeight="1" x14ac:dyDescent="0.4">
      <c r="B17" s="102"/>
    </row>
    <row r="18" spans="2:5" x14ac:dyDescent="0.4">
      <c r="E18" s="106"/>
    </row>
    <row r="19" spans="2:5" x14ac:dyDescent="0.4">
      <c r="E19" s="107"/>
    </row>
  </sheetData>
  <sheetProtection algorithmName="SHA-512" hashValue="PH4a5LAuO6dTyUzrQGczwfK9azRf6IFpGUYplapcB1tYbXJLC7WyC7S/57ZcVVYoLd7kNLu6U2T5EVWxQNeOzg==" saltValue="OxdhXjHlvSCTmEHQ2PRiXQ==" spinCount="100000" sheet="1" objects="1" scenarios="1"/>
  <protectedRanges>
    <protectedRange sqref="E8:E12 S8:S12 Z8:Z12 AG8:AG12 AN8:AN12" name="Quanity"/>
  </protectedRanges>
  <mergeCells count="40">
    <mergeCell ref="B16:F16"/>
    <mergeCell ref="B2:D2"/>
    <mergeCell ref="B6:F6"/>
    <mergeCell ref="B5:C5"/>
    <mergeCell ref="D5:E5"/>
    <mergeCell ref="D4:E4"/>
    <mergeCell ref="B8:B9"/>
    <mergeCell ref="C8:C9"/>
    <mergeCell ref="X8:X9"/>
    <mergeCell ref="W16:AA16"/>
    <mergeCell ref="R4:S4"/>
    <mergeCell ref="P5:Q5"/>
    <mergeCell ref="R5:S5"/>
    <mergeCell ref="P6:T6"/>
    <mergeCell ref="P8:P9"/>
    <mergeCell ref="Q8:Q9"/>
    <mergeCell ref="AD16:AH16"/>
    <mergeCell ref="P2:T3"/>
    <mergeCell ref="W2:AA3"/>
    <mergeCell ref="AD2:AH3"/>
    <mergeCell ref="AF4:AG4"/>
    <mergeCell ref="AD5:AE5"/>
    <mergeCell ref="AF5:AG5"/>
    <mergeCell ref="AD6:AH6"/>
    <mergeCell ref="AD8:AD9"/>
    <mergeCell ref="AE8:AE9"/>
    <mergeCell ref="P16:T16"/>
    <mergeCell ref="Y4:Z4"/>
    <mergeCell ref="W5:X5"/>
    <mergeCell ref="Y5:Z5"/>
    <mergeCell ref="W6:AA6"/>
    <mergeCell ref="W8:W9"/>
    <mergeCell ref="AK16:AO16"/>
    <mergeCell ref="AK2:AO3"/>
    <mergeCell ref="AM4:AN4"/>
    <mergeCell ref="AK5:AL5"/>
    <mergeCell ref="AM5:AN5"/>
    <mergeCell ref="AK6:AO6"/>
    <mergeCell ref="AK8:AK9"/>
    <mergeCell ref="AL8:AL9"/>
  </mergeCells>
  <conditionalFormatting sqref="F14">
    <cfRule type="expression" dxfId="15" priority="20" stopIfTrue="1">
      <formula>IF(F14="Incentive Amount Cannot Exceed $100,000",TRUE,FALSE)</formula>
    </cfRule>
    <cfRule type="expression" dxfId="14" priority="21" stopIfTrue="1">
      <formula>IF(F14="Incentive Amount Cannot Exceed $120,000",TRUE,FALSE)</formula>
    </cfRule>
  </conditionalFormatting>
  <conditionalFormatting sqref="F15 T15 AA15 AH15 AO15">
    <cfRule type="expression" dxfId="13" priority="19" stopIfTrue="1">
      <formula>IF(F15="Maximum Incentive Amount Exceeded",TRUE,FALSE)</formula>
    </cfRule>
  </conditionalFormatting>
  <conditionalFormatting sqref="E14">
    <cfRule type="expression" dxfId="12" priority="17" stopIfTrue="1">
      <formula>IF(E14="Total Stalls Incentivized + Code's EV-Ready Stalls Is Too High",TRUE,FALSE)</formula>
    </cfRule>
  </conditionalFormatting>
  <conditionalFormatting sqref="T14">
    <cfRule type="expression" dxfId="11" priority="15" stopIfTrue="1">
      <formula>IF(T14="Incentive Amount Cannot Exceed $100,000",TRUE,FALSE)</formula>
    </cfRule>
    <cfRule type="expression" dxfId="10" priority="16" stopIfTrue="1">
      <formula>IF(T14="Incentive Amount Cannot Exceed $120,000",TRUE,FALSE)</formula>
    </cfRule>
  </conditionalFormatting>
  <conditionalFormatting sqref="S14">
    <cfRule type="expression" dxfId="9" priority="13" stopIfTrue="1">
      <formula>IF(S14="Total Stalls Incentivized + Code's EV-Ready Stalls Is Too High",TRUE,FALSE)</formula>
    </cfRule>
  </conditionalFormatting>
  <conditionalFormatting sqref="AA14">
    <cfRule type="expression" dxfId="8" priority="11" stopIfTrue="1">
      <formula>IF(AA14="Incentive Amount Cannot Exceed $100,000",TRUE,FALSE)</formula>
    </cfRule>
    <cfRule type="expression" dxfId="7" priority="12" stopIfTrue="1">
      <formula>IF(AA14="Incentive Amount Cannot Exceed $120,000",TRUE,FALSE)</formula>
    </cfRule>
  </conditionalFormatting>
  <conditionalFormatting sqref="Z14">
    <cfRule type="expression" dxfId="6" priority="9" stopIfTrue="1">
      <formula>IF(Z14="Total Stalls Incentivized + Code's EV-Ready Stalls Is Too High",TRUE,FALSE)</formula>
    </cfRule>
  </conditionalFormatting>
  <conditionalFormatting sqref="AH14">
    <cfRule type="expression" dxfId="5" priority="7" stopIfTrue="1">
      <formula>IF(AH14="Incentive Amount Cannot Exceed $100,000",TRUE,FALSE)</formula>
    </cfRule>
    <cfRule type="expression" dxfId="4" priority="8" stopIfTrue="1">
      <formula>IF(AH14="Incentive Amount Cannot Exceed $120,000",TRUE,FALSE)</formula>
    </cfRule>
  </conditionalFormatting>
  <conditionalFormatting sqref="AG14">
    <cfRule type="expression" dxfId="3" priority="5" stopIfTrue="1">
      <formula>IF(AG14="Total Stalls Incentivized + Code's EV-Ready Stalls Is Too High",TRUE,FALSE)</formula>
    </cfRule>
  </conditionalFormatting>
  <conditionalFormatting sqref="AO14">
    <cfRule type="expression" dxfId="2" priority="3" stopIfTrue="1">
      <formula>IF(AO14="Incentive Amount Cannot Exceed $100,000",TRUE,FALSE)</formula>
    </cfRule>
    <cfRule type="expression" dxfId="1" priority="4" stopIfTrue="1">
      <formula>IF(AO14="Incentive Amount Cannot Exceed $120,000",TRUE,FALSE)</formula>
    </cfRule>
  </conditionalFormatting>
  <conditionalFormatting sqref="AN14">
    <cfRule type="expression" dxfId="0" priority="1" stopIfTrue="1">
      <formula>IF(AN14="Total Stalls Incentivized + Code's EV-Ready Stalls Is Too High",TRUE,FALSE)</formula>
    </cfRule>
  </conditionalFormatting>
  <pageMargins left="0.7" right="0.7" top="0.75" bottom="0.75" header="0.3" footer="0.3"/>
  <pageSetup paperSize="3" scale="1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1D7C9-92CE-4138-988E-9B47FFEA17A3}">
  <sheetPr>
    <pageSetUpPr fitToPage="1"/>
  </sheetPr>
  <dimension ref="A1:S32"/>
  <sheetViews>
    <sheetView zoomScale="40" zoomScaleNormal="40" workbookViewId="0">
      <selection activeCell="B14" sqref="B14"/>
    </sheetView>
  </sheetViews>
  <sheetFormatPr defaultColWidth="11.453125" defaultRowHeight="16" x14ac:dyDescent="0.4"/>
  <cols>
    <col min="1" max="1" width="4.54296875" style="186" customWidth="1"/>
    <col min="2" max="3" width="40.54296875" style="186" customWidth="1"/>
    <col min="4" max="4" width="15.81640625" style="186" customWidth="1"/>
    <col min="5" max="5" width="40.54296875" style="186" customWidth="1"/>
    <col min="6" max="6" width="50.1796875" style="186" customWidth="1"/>
    <col min="7" max="7" width="15.81640625" style="186" customWidth="1"/>
    <col min="8" max="9" width="40.54296875" style="186" customWidth="1"/>
    <col min="10" max="10" width="15.81640625" style="186" customWidth="1"/>
    <col min="11" max="11" width="40.453125" style="186" customWidth="1"/>
    <col min="12" max="12" width="40.54296875" style="186" customWidth="1"/>
    <col min="13" max="13" width="11.453125" style="186"/>
    <col min="14" max="14" width="13.81640625" style="186" customWidth="1"/>
    <col min="15" max="15" width="45.453125" style="186" customWidth="1"/>
    <col min="16" max="16384" width="11.453125" style="186"/>
  </cols>
  <sheetData>
    <row r="1" spans="1:19" s="187" customFormat="1" ht="49" customHeight="1" x14ac:dyDescent="0.8">
      <c r="A1" s="186"/>
      <c r="B1" s="334" t="s">
        <v>2</v>
      </c>
      <c r="C1" s="334"/>
      <c r="D1" s="334"/>
      <c r="E1" s="335"/>
    </row>
    <row r="2" spans="1:19" s="189" customFormat="1" ht="36" customHeight="1" x14ac:dyDescent="0.4">
      <c r="A2" s="186"/>
      <c r="B2" s="188" t="s">
        <v>307</v>
      </c>
      <c r="C2" s="186"/>
      <c r="D2" s="186"/>
      <c r="E2" s="186"/>
      <c r="F2" s="186"/>
      <c r="G2" s="186"/>
      <c r="H2" s="186"/>
      <c r="I2" s="186"/>
      <c r="J2" s="186"/>
      <c r="K2" s="186"/>
      <c r="L2" s="186"/>
      <c r="M2" s="186"/>
      <c r="N2" s="186"/>
      <c r="O2" s="186"/>
      <c r="P2" s="186"/>
    </row>
    <row r="3" spans="1:19" ht="16.5" thickBot="1" x14ac:dyDescent="0.45"/>
    <row r="4" spans="1:19" ht="96.75" customHeight="1" thickTop="1" thickBot="1" x14ac:dyDescent="0.45">
      <c r="B4" s="190" t="str">
        <f>'Code Reqts'!B4</f>
        <v xml:space="preserve">Total Vehicle Stalls </v>
      </c>
      <c r="C4" s="338" t="str">
        <f>'Code Reqts'!C4</f>
        <v>Total number of vehicle stalls planned for your property (including standard and ADA parking)</v>
      </c>
      <c r="D4" s="338"/>
      <c r="E4" s="191">
        <f>'Customer Info'!C32</f>
        <v>60</v>
      </c>
      <c r="F4" s="192" t="str">
        <f>'Code Reqts'!G4</f>
        <v>Total vehicle stalls</v>
      </c>
      <c r="G4" s="188"/>
      <c r="H4" s="188"/>
      <c r="I4" s="188"/>
      <c r="J4" s="188"/>
      <c r="K4" s="188"/>
      <c r="L4" s="188"/>
      <c r="M4" s="188"/>
      <c r="N4" s="188"/>
      <c r="O4" s="188"/>
      <c r="P4" s="188"/>
      <c r="Q4" s="188"/>
      <c r="R4" s="188"/>
      <c r="S4" s="188"/>
    </row>
    <row r="5" spans="1:19" ht="146.25" customHeight="1" thickTop="1" thickBot="1" x14ac:dyDescent="0.45">
      <c r="B5" s="192" t="str">
        <f>'Code Reqts'!B6</f>
        <v># of vehicle stalls used to calculate the code-required EV-Dedicated Electrical Capacity</v>
      </c>
      <c r="C5" s="339" t="s">
        <v>45</v>
      </c>
      <c r="D5" s="340"/>
      <c r="E5" s="191">
        <f>ROUNDUP(E4*0.2,0.1)</f>
        <v>12</v>
      </c>
      <c r="F5" s="192" t="str">
        <f>'Code Reqts'!G6</f>
        <v>Vehicle Stalls</v>
      </c>
      <c r="G5" s="188"/>
      <c r="H5" s="188"/>
      <c r="I5" s="188"/>
      <c r="J5" s="188"/>
      <c r="K5" s="188"/>
      <c r="L5" s="188"/>
      <c r="M5" s="188"/>
      <c r="N5" s="188"/>
      <c r="O5" s="188"/>
      <c r="P5" s="188"/>
      <c r="Q5" s="188"/>
      <c r="R5" s="188"/>
      <c r="S5" s="188"/>
    </row>
    <row r="6" spans="1:19" ht="153" customHeight="1" thickTop="1" thickBot="1" x14ac:dyDescent="0.45">
      <c r="B6" s="192" t="str">
        <f>'Code Reqts'!B7</f>
        <v xml:space="preserve">EV-Dedicated Electrical Capacity Required </v>
      </c>
      <c r="C6" s="341"/>
      <c r="D6" s="342"/>
      <c r="E6" s="191">
        <f>$E$5*40</f>
        <v>480</v>
      </c>
      <c r="F6" s="192" t="str">
        <f>'Code Reqts'!G7</f>
        <v>Electrical Capacity Required</v>
      </c>
      <c r="G6" s="188"/>
      <c r="H6" s="188"/>
      <c r="I6" s="188"/>
      <c r="J6" s="193"/>
      <c r="K6" s="188"/>
      <c r="L6" s="188"/>
      <c r="M6" s="188"/>
      <c r="N6" s="188"/>
      <c r="O6" s="188"/>
      <c r="P6" s="188"/>
      <c r="Q6" s="188"/>
      <c r="R6" s="188"/>
      <c r="S6" s="188"/>
    </row>
    <row r="7" spans="1:19" ht="16" hidden="1" customHeight="1" thickTop="1" thickBot="1" x14ac:dyDescent="0.45">
      <c r="B7" s="194"/>
      <c r="C7" s="195"/>
      <c r="D7" s="195"/>
      <c r="E7" s="111"/>
      <c r="F7" s="194"/>
      <c r="G7" s="188"/>
      <c r="H7" s="188"/>
      <c r="I7" s="188"/>
      <c r="J7" s="193"/>
      <c r="K7" s="188"/>
      <c r="L7" s="188"/>
      <c r="M7" s="188"/>
      <c r="N7" s="188"/>
      <c r="O7" s="188"/>
      <c r="P7" s="188"/>
      <c r="Q7" s="188"/>
      <c r="R7" s="188"/>
      <c r="S7" s="188"/>
    </row>
    <row r="8" spans="1:19" ht="30" customHeight="1" thickTop="1" thickBot="1" x14ac:dyDescent="0.45">
      <c r="B8" s="194"/>
      <c r="C8" s="195"/>
      <c r="D8" s="195"/>
      <c r="E8" s="111"/>
      <c r="F8" s="194"/>
      <c r="G8" s="188"/>
      <c r="H8" s="188"/>
      <c r="I8" s="188"/>
      <c r="J8" s="193"/>
      <c r="K8" s="188"/>
      <c r="L8" s="188"/>
      <c r="M8" s="188"/>
      <c r="N8" s="188"/>
      <c r="O8" s="188"/>
      <c r="P8" s="188"/>
      <c r="Q8" s="188"/>
      <c r="R8" s="188"/>
      <c r="S8" s="188"/>
    </row>
    <row r="9" spans="1:19" ht="37" customHeight="1" thickTop="1" thickBot="1" x14ac:dyDescent="0.45">
      <c r="B9" s="343" t="s">
        <v>62</v>
      </c>
      <c r="C9" s="343"/>
      <c r="D9" s="194"/>
      <c r="E9" s="343" t="s">
        <v>63</v>
      </c>
      <c r="F9" s="343"/>
      <c r="G9" s="194"/>
      <c r="H9" s="343" t="s">
        <v>64</v>
      </c>
      <c r="I9" s="343"/>
      <c r="J9" s="194"/>
      <c r="K9" s="343" t="s">
        <v>65</v>
      </c>
      <c r="L9" s="343"/>
      <c r="M9" s="193"/>
      <c r="N9" s="188"/>
      <c r="O9" s="188"/>
      <c r="P9" s="188"/>
      <c r="Q9" s="188"/>
      <c r="R9" s="188"/>
      <c r="S9" s="188"/>
    </row>
    <row r="10" spans="1:19" ht="266.14999999999998" customHeight="1" thickTop="1" thickBot="1" x14ac:dyDescent="0.45">
      <c r="B10" s="337" t="s">
        <v>239</v>
      </c>
      <c r="C10" s="337"/>
      <c r="D10" s="196"/>
      <c r="E10" s="337" t="s">
        <v>226</v>
      </c>
      <c r="F10" s="337"/>
      <c r="G10" s="197"/>
      <c r="H10" s="336" t="s">
        <v>339</v>
      </c>
      <c r="I10" s="336"/>
      <c r="J10" s="197"/>
      <c r="K10" s="337" t="s">
        <v>241</v>
      </c>
      <c r="L10" s="337"/>
      <c r="M10" s="198"/>
      <c r="N10" s="188"/>
      <c r="O10" s="188"/>
      <c r="P10" s="188"/>
      <c r="Q10" s="188"/>
      <c r="R10" s="188"/>
      <c r="S10" s="188"/>
    </row>
    <row r="11" spans="1:19" ht="121" thickTop="1" thickBot="1" x14ac:dyDescent="0.45">
      <c r="B11" s="199" t="s">
        <v>224</v>
      </c>
      <c r="C11" s="200">
        <f>$E$5</f>
        <v>12</v>
      </c>
      <c r="D11" s="201"/>
      <c r="E11" s="92" t="s">
        <v>310</v>
      </c>
      <c r="F11" s="200">
        <f>C12/20</f>
        <v>24</v>
      </c>
      <c r="G11" s="202"/>
      <c r="H11" s="92" t="s">
        <v>66</v>
      </c>
      <c r="I11" s="200">
        <f>E4</f>
        <v>60</v>
      </c>
      <c r="J11" s="203"/>
      <c r="K11" s="199" t="s">
        <v>225</v>
      </c>
      <c r="L11" s="204">
        <f>($E$6-ROUNDUP(0.1*$E$4,0)*40)/20+ROUNDUP($E$4*0.1,0)</f>
        <v>18</v>
      </c>
      <c r="M11" s="205"/>
      <c r="N11" s="188"/>
      <c r="O11" s="203"/>
      <c r="P11" s="188"/>
      <c r="Q11" s="188"/>
      <c r="R11" s="188"/>
      <c r="S11" s="188"/>
    </row>
    <row r="12" spans="1:19" ht="121" customHeight="1" thickTop="1" thickBot="1" x14ac:dyDescent="0.45">
      <c r="B12" s="92" t="s">
        <v>67</v>
      </c>
      <c r="C12" s="200">
        <f>$E$6</f>
        <v>480</v>
      </c>
      <c r="D12" s="202"/>
      <c r="E12" s="92" t="s">
        <v>67</v>
      </c>
      <c r="F12" s="200">
        <f>$E$6</f>
        <v>480</v>
      </c>
      <c r="G12" s="202"/>
      <c r="H12" s="92" t="s">
        <v>242</v>
      </c>
      <c r="I12" s="200">
        <f>E6</f>
        <v>480</v>
      </c>
      <c r="J12" s="202"/>
      <c r="K12" s="92" t="s">
        <v>243</v>
      </c>
      <c r="L12" s="204">
        <f>(($E$6-ROUNDUP(0.1*$E$4,0)*40)/20)*20+ROUNDUP($E$4*0.1,0)*40</f>
        <v>480</v>
      </c>
      <c r="M12" s="206"/>
      <c r="N12" s="188"/>
      <c r="O12" s="188"/>
      <c r="P12" s="188"/>
      <c r="Q12" s="188"/>
      <c r="R12" s="188"/>
      <c r="S12" s="188"/>
    </row>
    <row r="13" spans="1:19" ht="121" customHeight="1" thickTop="1" thickBot="1" x14ac:dyDescent="0.45">
      <c r="B13" s="199" t="s">
        <v>240</v>
      </c>
      <c r="C13" s="200">
        <f>C12/40</f>
        <v>12</v>
      </c>
      <c r="D13" s="202"/>
      <c r="E13" s="92" t="s">
        <v>68</v>
      </c>
      <c r="F13" s="200">
        <f>$F$11/2</f>
        <v>12</v>
      </c>
      <c r="G13" s="197"/>
      <c r="H13" s="92" t="s">
        <v>292</v>
      </c>
      <c r="I13" s="200">
        <f>$I$11</f>
        <v>60</v>
      </c>
      <c r="J13" s="203"/>
      <c r="K13" s="199" t="s">
        <v>69</v>
      </c>
      <c r="L13" s="207">
        <f>L11-ROUNDUP(E$4/10,0)</f>
        <v>12</v>
      </c>
      <c r="M13" s="193"/>
      <c r="N13" s="188"/>
      <c r="O13" s="208"/>
      <c r="P13" s="188"/>
      <c r="Q13" s="188"/>
      <c r="R13" s="188"/>
      <c r="S13" s="188"/>
    </row>
    <row r="14" spans="1:19" ht="121" customHeight="1" thickTop="1" thickBot="1" x14ac:dyDescent="0.45">
      <c r="B14" s="92" t="s">
        <v>309</v>
      </c>
      <c r="C14" s="200">
        <f>C12/40</f>
        <v>12</v>
      </c>
      <c r="D14" s="202"/>
      <c r="E14" s="92" t="s">
        <v>309</v>
      </c>
      <c r="F14" s="200">
        <f>F12/40</f>
        <v>12</v>
      </c>
      <c r="G14" s="202"/>
      <c r="H14" s="209" t="s">
        <v>293</v>
      </c>
      <c r="I14" s="200">
        <f>I11</f>
        <v>60</v>
      </c>
      <c r="J14" s="197"/>
      <c r="K14" s="199" t="s">
        <v>308</v>
      </c>
      <c r="L14" s="207">
        <f>ROUNDUP(E4*0.1,0)</f>
        <v>6</v>
      </c>
      <c r="M14" s="206"/>
      <c r="N14" s="188"/>
      <c r="O14" s="197"/>
      <c r="P14" s="188"/>
      <c r="Q14" s="188"/>
      <c r="R14" s="188"/>
      <c r="S14" s="188"/>
    </row>
    <row r="15" spans="1:19" ht="91.5" customHeight="1" thickTop="1" thickBot="1" x14ac:dyDescent="0.45">
      <c r="B15" s="92" t="s">
        <v>70</v>
      </c>
      <c r="C15" s="210">
        <f>IF($C$19=1,(MIN(120000,$C$18*$C$22+$C$17*$C$24)),(MIN(100000,$C$18*$C$21+$C$17*$C$23)))</f>
        <v>30000</v>
      </c>
      <c r="D15" s="201"/>
      <c r="E15" s="92" t="s">
        <v>70</v>
      </c>
      <c r="F15" s="210">
        <f>IF($C$19=1,(MIN(120000,$D$18*$C$22+($D$17*$C$24)+(600*F13))),(MIN(100000,$D$18*$C$21+($D$17*$C$23+(500*F13)))))</f>
        <v>39000</v>
      </c>
      <c r="G15" s="211"/>
      <c r="H15" s="92" t="s">
        <v>70</v>
      </c>
      <c r="I15" s="210">
        <f>IF('Customer Info'!$C$18="Affordable",MIN(IF($I$11&gt;ROUNDUP(0.1*$E$4,0),IF('Customer Info'!$C$18="Affordable",((2000*(ROUNDUP(0.1*$E$4,0))+(3000*($I$11-ROUNDUP(0.1*$E$4,0))))*1.2),((2000*ROUNDUP(0.1*$E$4,0))+(3000*($I$11-ROUNDUP(0.1*$E$4,0))))),0),120000),MIN(IF($I$11&gt;ROUNDUP(0.1*$E$4,0),IF('Customer Info'!$C$18="Affordable",((2000*(ROUNDUP(0.1*$E$4,0))+(3000*($I$11-ROUNDUP(0.1*$E$4,0))))*1.2),((2000*ROUNDUP(0.1*$E$4,0))+(3000*($I$11-ROUNDUP(0.1*$E$4,0))))),0),100000))</f>
        <v>100000</v>
      </c>
      <c r="J15" s="197"/>
      <c r="K15" s="199" t="s">
        <v>70</v>
      </c>
      <c r="L15" s="212">
        <f>IF('Customer Info'!C18="Affordable",MIN(120000,1200*$L13),MIN(100000,1000*$L13))</f>
        <v>12000</v>
      </c>
      <c r="M15" s="203"/>
      <c r="N15" s="188"/>
      <c r="O15" s="188"/>
      <c r="P15" s="188"/>
      <c r="Q15" s="188"/>
      <c r="R15" s="188"/>
      <c r="S15" s="188"/>
    </row>
    <row r="16" spans="1:19" ht="91.5" hidden="1" customHeight="1" thickTop="1" x14ac:dyDescent="0.4">
      <c r="B16" s="218"/>
      <c r="C16" s="219"/>
      <c r="D16" s="215" t="s">
        <v>325</v>
      </c>
      <c r="E16" s="218"/>
      <c r="F16" s="219"/>
      <c r="G16" s="211"/>
      <c r="H16" s="218"/>
      <c r="I16" s="219"/>
      <c r="J16" s="197"/>
      <c r="K16" s="220"/>
      <c r="L16" s="221"/>
      <c r="M16" s="203"/>
      <c r="N16" s="188"/>
      <c r="O16" s="188"/>
      <c r="P16" s="188"/>
      <c r="Q16" s="188"/>
      <c r="R16" s="188"/>
      <c r="S16" s="188"/>
    </row>
    <row r="17" spans="2:19" ht="20" hidden="1" x14ac:dyDescent="0.4">
      <c r="B17" s="188" t="s">
        <v>71</v>
      </c>
      <c r="C17" s="213">
        <f>C13-C18</f>
        <v>6</v>
      </c>
      <c r="D17" s="216">
        <f>(F11-D18*2)/2</f>
        <v>9</v>
      </c>
      <c r="E17" s="188"/>
      <c r="F17" s="188"/>
      <c r="G17" s="188"/>
      <c r="H17" s="188"/>
      <c r="I17" s="188"/>
      <c r="J17" s="188"/>
      <c r="K17" s="188"/>
      <c r="L17" s="188"/>
      <c r="M17" s="188"/>
      <c r="N17" s="188"/>
      <c r="O17" s="188"/>
      <c r="P17" s="188"/>
      <c r="Q17" s="188"/>
      <c r="R17" s="188"/>
      <c r="S17" s="188"/>
    </row>
    <row r="18" spans="2:19" ht="20" hidden="1" x14ac:dyDescent="0.4">
      <c r="B18" s="188" t="s">
        <v>72</v>
      </c>
      <c r="C18" s="188">
        <f>ROUNDUP(E4*0.1,0)</f>
        <v>6</v>
      </c>
      <c r="D18" s="215">
        <f>ROUNDUP(C18/2,0)</f>
        <v>3</v>
      </c>
      <c r="E18" s="188"/>
      <c r="F18" s="188"/>
      <c r="G18" s="188"/>
      <c r="H18" s="188"/>
      <c r="I18" s="188"/>
      <c r="J18" s="188"/>
      <c r="K18" s="188"/>
      <c r="L18" s="188"/>
      <c r="M18" s="188"/>
      <c r="N18" s="188"/>
      <c r="O18" s="188"/>
      <c r="P18" s="188"/>
      <c r="Q18" s="188"/>
      <c r="R18" s="188"/>
      <c r="S18" s="188"/>
    </row>
    <row r="19" spans="2:19" ht="20" hidden="1" x14ac:dyDescent="0.4">
      <c r="B19" s="188" t="s">
        <v>73</v>
      </c>
      <c r="C19" s="188">
        <f>IF('Customer Info'!C18="Affordable",1,2)</f>
        <v>2</v>
      </c>
      <c r="D19" s="217"/>
      <c r="E19" s="188"/>
      <c r="F19" s="188"/>
      <c r="G19" s="188"/>
      <c r="H19" s="188"/>
      <c r="I19" s="188"/>
      <c r="J19" s="188"/>
      <c r="K19" s="188"/>
      <c r="L19" s="188"/>
      <c r="M19" s="188"/>
      <c r="N19" s="188"/>
      <c r="O19" s="188"/>
      <c r="P19" s="188"/>
      <c r="Q19" s="188"/>
      <c r="R19" s="188"/>
      <c r="S19" s="188"/>
    </row>
    <row r="20" spans="2:19" ht="20" hidden="1" x14ac:dyDescent="0.4">
      <c r="B20" s="188"/>
      <c r="C20" s="188"/>
      <c r="D20" s="188"/>
      <c r="E20" s="188"/>
      <c r="F20" s="188"/>
      <c r="G20" s="188"/>
      <c r="H20" s="188"/>
      <c r="I20" s="188"/>
      <c r="J20" s="188"/>
      <c r="K20" s="188"/>
      <c r="L20" s="188"/>
      <c r="M20" s="188"/>
      <c r="N20" s="188"/>
      <c r="O20" s="188"/>
      <c r="P20" s="188"/>
      <c r="Q20" s="188"/>
      <c r="R20" s="188"/>
      <c r="S20" s="188"/>
    </row>
    <row r="21" spans="2:19" ht="20" hidden="1" x14ac:dyDescent="0.4">
      <c r="B21" s="188" t="s">
        <v>74</v>
      </c>
      <c r="C21" s="188">
        <v>2000</v>
      </c>
      <c r="D21" s="188"/>
      <c r="E21" s="188"/>
      <c r="F21" s="188"/>
      <c r="G21" s="188"/>
      <c r="H21" s="188"/>
      <c r="I21" s="188"/>
      <c r="J21" s="188"/>
      <c r="K21" s="188"/>
      <c r="L21" s="188"/>
      <c r="M21" s="188"/>
      <c r="N21" s="188"/>
      <c r="O21" s="188"/>
      <c r="P21" s="188"/>
      <c r="Q21" s="188"/>
      <c r="R21" s="188"/>
      <c r="S21" s="188"/>
    </row>
    <row r="22" spans="2:19" ht="20" hidden="1" x14ac:dyDescent="0.4">
      <c r="B22" s="188" t="s">
        <v>75</v>
      </c>
      <c r="C22" s="188">
        <v>2400</v>
      </c>
      <c r="D22" s="188"/>
      <c r="E22" s="188"/>
      <c r="F22" s="188"/>
      <c r="G22" s="188"/>
      <c r="H22" s="188"/>
      <c r="I22" s="188"/>
      <c r="J22" s="188"/>
      <c r="K22" s="188"/>
      <c r="L22" s="188"/>
      <c r="M22" s="188"/>
      <c r="N22" s="188"/>
      <c r="O22" s="188"/>
      <c r="P22" s="188"/>
      <c r="Q22" s="188"/>
      <c r="R22" s="188"/>
      <c r="S22" s="188"/>
    </row>
    <row r="23" spans="2:19" ht="20" hidden="1" x14ac:dyDescent="0.4">
      <c r="B23" s="188" t="s">
        <v>76</v>
      </c>
      <c r="C23" s="188">
        <v>3000</v>
      </c>
      <c r="D23" s="188"/>
      <c r="E23" s="188"/>
      <c r="F23" s="188"/>
      <c r="G23" s="188"/>
      <c r="H23" s="188"/>
      <c r="I23" s="188"/>
      <c r="J23" s="188"/>
      <c r="K23" s="188"/>
      <c r="L23" s="188"/>
      <c r="M23" s="188"/>
      <c r="N23" s="188"/>
      <c r="O23" s="188"/>
      <c r="P23" s="188"/>
      <c r="Q23" s="188"/>
      <c r="R23" s="188"/>
      <c r="S23" s="188"/>
    </row>
    <row r="24" spans="2:19" ht="20" hidden="1" x14ac:dyDescent="0.4">
      <c r="B24" s="188" t="s">
        <v>77</v>
      </c>
      <c r="C24" s="188">
        <v>3600</v>
      </c>
      <c r="D24" s="188"/>
      <c r="E24" s="188"/>
      <c r="F24" s="188"/>
      <c r="G24" s="188"/>
      <c r="H24" s="188"/>
      <c r="I24" s="188"/>
      <c r="J24" s="188"/>
      <c r="K24" s="188"/>
      <c r="L24" s="188"/>
      <c r="M24" s="188"/>
      <c r="N24" s="188"/>
      <c r="O24" s="188"/>
      <c r="P24" s="188"/>
      <c r="Q24" s="188"/>
      <c r="R24" s="188"/>
      <c r="S24" s="188"/>
    </row>
    <row r="25" spans="2:19" ht="20.5" thickTop="1" x14ac:dyDescent="0.4">
      <c r="B25" s="188"/>
      <c r="C25" s="188"/>
      <c r="D25" s="188"/>
      <c r="E25" s="188"/>
      <c r="F25" s="188"/>
      <c r="G25" s="188"/>
      <c r="H25" s="188"/>
      <c r="I25" s="188"/>
      <c r="J25" s="188"/>
      <c r="K25" s="188"/>
      <c r="L25" s="188"/>
      <c r="M25" s="188"/>
      <c r="N25" s="188"/>
      <c r="O25" s="188"/>
      <c r="P25" s="188"/>
      <c r="Q25" s="188"/>
      <c r="R25" s="188"/>
      <c r="S25" s="188"/>
    </row>
    <row r="26" spans="2:19" ht="20" x14ac:dyDescent="0.4">
      <c r="B26" s="188"/>
      <c r="C26" s="188"/>
      <c r="D26" s="188"/>
      <c r="E26" s="188"/>
      <c r="F26" s="188"/>
      <c r="G26" s="188"/>
      <c r="H26" s="188"/>
      <c r="I26" s="188"/>
      <c r="J26" s="188"/>
      <c r="K26" s="188"/>
      <c r="L26" s="188"/>
      <c r="M26" s="188"/>
      <c r="N26" s="188"/>
      <c r="O26" s="188"/>
      <c r="P26" s="188"/>
      <c r="Q26" s="188"/>
      <c r="R26" s="188"/>
      <c r="S26" s="188"/>
    </row>
    <row r="27" spans="2:19" ht="20" x14ac:dyDescent="0.4">
      <c r="B27" s="188"/>
      <c r="C27" s="188"/>
      <c r="D27" s="188"/>
      <c r="E27" s="188"/>
      <c r="F27" s="188"/>
      <c r="G27" s="188"/>
      <c r="H27" s="188"/>
      <c r="I27" s="188"/>
      <c r="J27" s="188"/>
      <c r="K27" s="188"/>
      <c r="L27" s="188"/>
      <c r="M27" s="188"/>
      <c r="N27" s="188"/>
      <c r="O27" s="188"/>
      <c r="P27" s="188"/>
      <c r="Q27" s="188"/>
      <c r="R27" s="188"/>
      <c r="S27" s="188"/>
    </row>
    <row r="28" spans="2:19" ht="20" x14ac:dyDescent="0.4">
      <c r="B28" s="188"/>
      <c r="C28" s="188"/>
      <c r="D28" s="188"/>
      <c r="E28" s="188"/>
      <c r="F28" s="188"/>
      <c r="G28" s="188"/>
      <c r="H28" s="188"/>
      <c r="I28" s="188"/>
      <c r="J28" s="188"/>
      <c r="K28" s="188"/>
      <c r="L28" s="188"/>
      <c r="M28" s="188"/>
      <c r="N28" s="188"/>
      <c r="O28" s="188"/>
      <c r="P28" s="188"/>
      <c r="Q28" s="188"/>
      <c r="R28" s="188"/>
      <c r="S28" s="188"/>
    </row>
    <row r="29" spans="2:19" ht="20" x14ac:dyDescent="0.4">
      <c r="B29" s="188"/>
      <c r="C29" s="188"/>
      <c r="D29" s="188"/>
      <c r="E29" s="188"/>
      <c r="F29" s="188"/>
      <c r="G29" s="188"/>
      <c r="H29" s="188"/>
      <c r="I29" s="188"/>
      <c r="J29" s="188"/>
      <c r="K29" s="188"/>
      <c r="L29" s="188"/>
      <c r="M29" s="188"/>
      <c r="N29" s="188"/>
      <c r="O29" s="188"/>
      <c r="P29" s="188"/>
      <c r="Q29" s="188"/>
      <c r="R29" s="188"/>
      <c r="S29" s="188"/>
    </row>
    <row r="30" spans="2:19" ht="20" x14ac:dyDescent="0.4">
      <c r="B30" s="188"/>
      <c r="C30" s="188"/>
      <c r="D30" s="188"/>
      <c r="E30" s="188"/>
      <c r="F30" s="188"/>
      <c r="G30" s="188"/>
      <c r="H30" s="188"/>
      <c r="I30" s="188"/>
      <c r="J30" s="188"/>
      <c r="K30" s="188"/>
      <c r="L30" s="188"/>
      <c r="M30" s="188"/>
      <c r="N30" s="188"/>
      <c r="O30" s="188"/>
      <c r="P30" s="188"/>
      <c r="Q30" s="188"/>
      <c r="R30" s="188"/>
      <c r="S30" s="188"/>
    </row>
    <row r="31" spans="2:19" ht="20" x14ac:dyDescent="0.4">
      <c r="B31" s="188"/>
      <c r="C31" s="188"/>
      <c r="D31" s="188"/>
      <c r="E31" s="188"/>
      <c r="F31" s="188"/>
      <c r="G31" s="188"/>
      <c r="H31" s="188"/>
      <c r="I31" s="188"/>
      <c r="J31" s="188"/>
      <c r="K31" s="188"/>
      <c r="L31" s="188"/>
      <c r="M31" s="188"/>
      <c r="N31" s="188"/>
      <c r="O31" s="188"/>
      <c r="P31" s="188"/>
      <c r="Q31" s="188"/>
      <c r="R31" s="188"/>
      <c r="S31" s="188"/>
    </row>
    <row r="32" spans="2:19" ht="20" x14ac:dyDescent="0.4">
      <c r="B32" s="188"/>
      <c r="C32" s="188"/>
      <c r="D32" s="188"/>
      <c r="E32" s="188"/>
      <c r="F32" s="188"/>
      <c r="G32" s="188"/>
      <c r="H32" s="188"/>
      <c r="I32" s="188"/>
      <c r="J32" s="188"/>
      <c r="K32" s="188"/>
      <c r="L32" s="188"/>
      <c r="M32" s="188"/>
      <c r="N32" s="188"/>
      <c r="O32" s="188"/>
      <c r="P32" s="188"/>
      <c r="Q32" s="188"/>
      <c r="R32" s="188"/>
      <c r="S32" s="188"/>
    </row>
  </sheetData>
  <sheetProtection algorithmName="SHA-512" hashValue="i/snhoEDF7QfPzc7hK8ua3TzaNrSCtQea0yUzQUDROzmAhPKbPq+hfchgs7SI0ssfSuq8ghSXhWppTyag+VJQQ==" saltValue="FCIw8wuScdppED9JXmtzzw==" spinCount="100000" sheet="1" objects="1" scenarios="1"/>
  <mergeCells count="11">
    <mergeCell ref="B1:E1"/>
    <mergeCell ref="H10:I10"/>
    <mergeCell ref="K10:L10"/>
    <mergeCell ref="B10:C10"/>
    <mergeCell ref="C4:D4"/>
    <mergeCell ref="E10:F10"/>
    <mergeCell ref="C5:D6"/>
    <mergeCell ref="E9:F9"/>
    <mergeCell ref="B9:C9"/>
    <mergeCell ref="H9:I9"/>
    <mergeCell ref="K9:L9"/>
  </mergeCells>
  <pageMargins left="0.7" right="0.7" top="0.75" bottom="0.75" header="0.3" footer="0.3"/>
  <pageSetup paperSize="3"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E00D0-B0ED-4E44-9D8F-363AA6F4A676}">
  <dimension ref="B1"/>
  <sheetViews>
    <sheetView workbookViewId="0">
      <selection activeCell="D1" sqref="D1"/>
    </sheetView>
  </sheetViews>
  <sheetFormatPr defaultRowHeight="14.5" x14ac:dyDescent="0.35"/>
  <sheetData>
    <row r="1" spans="2:2" ht="21" customHeight="1" x14ac:dyDescent="0.35">
      <c r="B1" s="1" t="s">
        <v>88</v>
      </c>
    </row>
  </sheetData>
  <sheetProtection algorithmName="SHA-512" hashValue="aQvRK6DZIU/G10VGMF7niz1O632Y+/XbmWr9W7gKr3ZHihqtNI5MuFjFSXa4kLZqcsy+C8tHe6JQzfcMyupJhw==" saltValue="DBziByyUvZCdcntWuJYvqg=="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2E483-0C64-44A2-A932-A4F5F8F2690F}">
  <sheetPr>
    <tabColor theme="8" tint="0.79998168889431442"/>
  </sheetPr>
  <dimension ref="A1:V56"/>
  <sheetViews>
    <sheetView zoomScale="60" zoomScaleNormal="60" workbookViewId="0">
      <selection activeCell="E20" sqref="E20"/>
    </sheetView>
  </sheetViews>
  <sheetFormatPr defaultColWidth="8.81640625" defaultRowHeight="15" x14ac:dyDescent="0.4"/>
  <cols>
    <col min="1" max="1" width="15.81640625" style="135" customWidth="1"/>
    <col min="2" max="2" width="1.453125" style="135" customWidth="1"/>
    <col min="3" max="3" width="137.81640625" style="135" customWidth="1"/>
    <col min="4" max="4" width="76.81640625" style="135" customWidth="1"/>
    <col min="5" max="5" width="20.54296875" style="135" customWidth="1"/>
    <col min="6" max="6" width="28.453125" style="137" customWidth="1"/>
    <col min="7" max="7" width="10.81640625" style="135" hidden="1" customWidth="1"/>
    <col min="8" max="8" width="47.1796875" style="135" hidden="1" customWidth="1"/>
    <col min="9" max="12" width="8.81640625" style="135" hidden="1" customWidth="1"/>
    <col min="13" max="13" width="30.81640625" style="135" hidden="1" customWidth="1"/>
    <col min="14" max="14" width="19" style="135" hidden="1" customWidth="1"/>
    <col min="15" max="22" width="8.81640625" style="135" hidden="1" customWidth="1"/>
    <col min="23" max="23" width="8.81640625" style="135" customWidth="1"/>
    <col min="24" max="16384" width="8.81640625" style="135"/>
  </cols>
  <sheetData>
    <row r="1" spans="1:22" ht="15.65" customHeight="1" x14ac:dyDescent="0.4">
      <c r="C1" s="235"/>
      <c r="D1" s="136"/>
      <c r="H1" s="135" t="s">
        <v>89</v>
      </c>
      <c r="K1" s="135" t="s">
        <v>90</v>
      </c>
      <c r="Q1" s="138" t="s">
        <v>91</v>
      </c>
      <c r="R1" s="138"/>
      <c r="S1" s="138"/>
      <c r="T1" s="138"/>
      <c r="U1" s="138"/>
      <c r="V1" s="138"/>
    </row>
    <row r="2" spans="1:22" ht="47.25" customHeight="1" x14ac:dyDescent="0.45">
      <c r="A2" s="163" t="s">
        <v>93</v>
      </c>
      <c r="B2" s="164"/>
      <c r="C2" s="234" t="s">
        <v>250</v>
      </c>
      <c r="D2" s="139" t="s">
        <v>301</v>
      </c>
      <c r="E2" s="140" t="s">
        <v>92</v>
      </c>
      <c r="F2" s="183" t="s">
        <v>297</v>
      </c>
      <c r="G2" s="141"/>
      <c r="H2" s="142" t="s">
        <v>94</v>
      </c>
      <c r="Q2" s="138" t="s">
        <v>95</v>
      </c>
      <c r="R2" s="138"/>
      <c r="S2" s="138"/>
      <c r="T2" s="138"/>
      <c r="U2" s="138"/>
      <c r="V2" s="138"/>
    </row>
    <row r="3" spans="1:22" x14ac:dyDescent="0.4">
      <c r="A3" s="344" t="s">
        <v>96</v>
      </c>
      <c r="B3" s="165"/>
      <c r="C3" s="233" t="s">
        <v>251</v>
      </c>
      <c r="D3" s="143"/>
      <c r="E3" s="144"/>
      <c r="F3" s="347" t="s">
        <v>257</v>
      </c>
      <c r="G3" s="145"/>
      <c r="Q3" s="138"/>
      <c r="R3" s="138" t="s">
        <v>97</v>
      </c>
      <c r="S3" s="138"/>
      <c r="T3" s="138"/>
      <c r="U3" s="138">
        <v>100</v>
      </c>
      <c r="V3" s="138"/>
    </row>
    <row r="4" spans="1:22" ht="15" customHeight="1" x14ac:dyDescent="0.4">
      <c r="A4" s="345"/>
      <c r="B4" s="166"/>
      <c r="C4" s="179" t="s">
        <v>228</v>
      </c>
      <c r="D4" s="185">
        <f>Incentives!E8</f>
        <v>0</v>
      </c>
      <c r="E4" s="144"/>
      <c r="F4" s="347"/>
      <c r="H4" s="135" t="s">
        <v>98</v>
      </c>
      <c r="Q4" s="138"/>
      <c r="R4" s="138" t="s">
        <v>99</v>
      </c>
      <c r="S4" s="138"/>
      <c r="T4" s="138"/>
      <c r="U4" s="138">
        <v>800</v>
      </c>
      <c r="V4" s="138" t="s">
        <v>100</v>
      </c>
    </row>
    <row r="5" spans="1:22" ht="15" customHeight="1" x14ac:dyDescent="0.4">
      <c r="A5" s="345"/>
      <c r="B5" s="166"/>
      <c r="C5" s="179" t="s">
        <v>244</v>
      </c>
      <c r="D5" s="185">
        <f>Incentives!E11</f>
        <v>0</v>
      </c>
      <c r="E5" s="144"/>
      <c r="F5" s="347"/>
      <c r="G5" s="146"/>
      <c r="Q5" s="138"/>
      <c r="R5" s="138"/>
      <c r="S5" s="138"/>
      <c r="T5" s="138"/>
      <c r="U5" s="138"/>
      <c r="V5" s="138"/>
    </row>
    <row r="6" spans="1:22" x14ac:dyDescent="0.4">
      <c r="A6" s="345"/>
      <c r="B6" s="166"/>
      <c r="C6" s="179" t="s">
        <v>227</v>
      </c>
      <c r="D6" s="185">
        <f>Incentives!E12</f>
        <v>0</v>
      </c>
      <c r="E6" s="144"/>
      <c r="F6" s="347"/>
      <c r="H6" s="135" t="s">
        <v>98</v>
      </c>
      <c r="Q6" s="138"/>
      <c r="R6" s="138" t="s">
        <v>101</v>
      </c>
      <c r="S6" s="138"/>
      <c r="T6" s="138"/>
      <c r="U6" s="138">
        <v>10</v>
      </c>
      <c r="V6" s="138"/>
    </row>
    <row r="7" spans="1:22" x14ac:dyDescent="0.4">
      <c r="A7" s="345"/>
      <c r="B7" s="166"/>
      <c r="C7" s="179" t="s">
        <v>258</v>
      </c>
      <c r="D7" s="143"/>
      <c r="E7" s="144"/>
      <c r="F7" s="347"/>
      <c r="H7" s="135" t="s">
        <v>98</v>
      </c>
      <c r="Q7" s="138" t="s">
        <v>102</v>
      </c>
      <c r="R7" s="138"/>
      <c r="S7" s="138"/>
      <c r="T7" s="138"/>
      <c r="U7" s="138"/>
      <c r="V7" s="138"/>
    </row>
    <row r="8" spans="1:22" x14ac:dyDescent="0.4">
      <c r="A8" s="345"/>
      <c r="B8" s="166"/>
      <c r="C8" s="182" t="s">
        <v>259</v>
      </c>
      <c r="D8" s="143"/>
      <c r="E8" s="144"/>
      <c r="F8" s="347"/>
      <c r="H8" s="135" t="s">
        <v>98</v>
      </c>
      <c r="Q8" s="138"/>
      <c r="R8" s="138" t="s">
        <v>103</v>
      </c>
      <c r="S8" s="138"/>
      <c r="T8" s="138"/>
      <c r="U8" s="138">
        <v>5</v>
      </c>
      <c r="V8" s="138"/>
    </row>
    <row r="9" spans="1:22" x14ac:dyDescent="0.4">
      <c r="A9" s="346"/>
      <c r="B9" s="167"/>
      <c r="C9" s="232" t="s">
        <v>104</v>
      </c>
      <c r="D9" s="143"/>
      <c r="E9" s="144"/>
      <c r="F9" s="347"/>
      <c r="H9" s="135" t="s">
        <v>105</v>
      </c>
      <c r="K9" s="135" t="s">
        <v>25</v>
      </c>
      <c r="L9" s="135" t="s">
        <v>26</v>
      </c>
      <c r="M9" s="135" t="s">
        <v>106</v>
      </c>
      <c r="Q9" s="138"/>
      <c r="R9" s="138" t="s">
        <v>107</v>
      </c>
      <c r="S9" s="138"/>
      <c r="T9" s="138"/>
      <c r="U9" s="138">
        <v>10</v>
      </c>
      <c r="V9" s="138"/>
    </row>
    <row r="10" spans="1:22" ht="15" customHeight="1" x14ac:dyDescent="0.4">
      <c r="A10" s="348" t="s">
        <v>108</v>
      </c>
      <c r="B10" s="165"/>
      <c r="C10" s="233" t="s">
        <v>109</v>
      </c>
      <c r="D10" s="143" t="s">
        <v>110</v>
      </c>
      <c r="E10" s="144"/>
      <c r="F10" s="351" t="s">
        <v>111</v>
      </c>
      <c r="H10" s="135" t="s">
        <v>112</v>
      </c>
      <c r="K10" s="135" t="s">
        <v>110</v>
      </c>
      <c r="L10" s="135" t="s">
        <v>113</v>
      </c>
      <c r="M10" s="135" t="s">
        <v>114</v>
      </c>
      <c r="N10" s="135" t="s">
        <v>115</v>
      </c>
      <c r="Q10" s="138"/>
      <c r="R10" s="138" t="s">
        <v>116</v>
      </c>
      <c r="S10" s="138"/>
      <c r="T10" s="138"/>
      <c r="U10" s="138">
        <v>1</v>
      </c>
      <c r="V10" s="138"/>
    </row>
    <row r="11" spans="1:22" x14ac:dyDescent="0.4">
      <c r="A11" s="349"/>
      <c r="B11" s="166"/>
      <c r="C11" s="179" t="s">
        <v>117</v>
      </c>
      <c r="D11" s="143" t="s">
        <v>118</v>
      </c>
      <c r="E11" s="144"/>
      <c r="F11" s="351"/>
      <c r="G11" s="145"/>
      <c r="H11" s="145" t="s">
        <v>119</v>
      </c>
      <c r="K11" s="135" t="s">
        <v>120</v>
      </c>
      <c r="L11" s="135" t="s">
        <v>118</v>
      </c>
      <c r="M11" s="135" t="s">
        <v>121</v>
      </c>
      <c r="Q11" s="138"/>
      <c r="R11" s="138" t="s">
        <v>122</v>
      </c>
      <c r="S11" s="138"/>
      <c r="T11" s="138"/>
      <c r="U11" s="138">
        <v>5</v>
      </c>
      <c r="V11" s="138"/>
    </row>
    <row r="12" spans="1:22" x14ac:dyDescent="0.4">
      <c r="A12" s="349"/>
      <c r="B12" s="166"/>
      <c r="C12" s="179" t="s">
        <v>123</v>
      </c>
      <c r="D12" s="143"/>
      <c r="E12" s="144"/>
      <c r="F12" s="351"/>
      <c r="G12" s="145"/>
      <c r="H12" s="145" t="s">
        <v>119</v>
      </c>
    </row>
    <row r="13" spans="1:22" x14ac:dyDescent="0.4">
      <c r="A13" s="349"/>
      <c r="B13" s="166"/>
      <c r="C13" s="179" t="s">
        <v>260</v>
      </c>
      <c r="D13" s="147"/>
      <c r="E13" s="144"/>
      <c r="F13" s="351"/>
      <c r="G13" s="148"/>
      <c r="H13" s="145" t="s">
        <v>112</v>
      </c>
      <c r="K13" s="135" t="s">
        <v>125</v>
      </c>
      <c r="L13" s="135" t="s">
        <v>124</v>
      </c>
      <c r="M13" s="135" t="s">
        <v>126</v>
      </c>
      <c r="N13" s="135" t="s">
        <v>127</v>
      </c>
      <c r="O13" s="135" t="s">
        <v>128</v>
      </c>
    </row>
    <row r="14" spans="1:22" x14ac:dyDescent="0.4">
      <c r="A14" s="350"/>
      <c r="B14" s="168"/>
      <c r="C14" s="232" t="s">
        <v>261</v>
      </c>
      <c r="D14" s="143"/>
      <c r="E14" s="144"/>
      <c r="F14" s="351"/>
      <c r="G14" s="145"/>
      <c r="H14" s="145" t="s">
        <v>112</v>
      </c>
      <c r="K14" s="135" t="s">
        <v>129</v>
      </c>
      <c r="L14" s="135" t="s">
        <v>130</v>
      </c>
      <c r="M14" s="135" t="s">
        <v>131</v>
      </c>
      <c r="N14" s="135" t="s">
        <v>128</v>
      </c>
    </row>
    <row r="15" spans="1:22" ht="33.65" customHeight="1" x14ac:dyDescent="0.4">
      <c r="A15" s="352" t="s">
        <v>262</v>
      </c>
      <c r="B15" s="165"/>
      <c r="C15" s="231" t="s">
        <v>294</v>
      </c>
      <c r="D15" s="226"/>
      <c r="E15" s="144"/>
      <c r="F15" s="355" t="s">
        <v>245</v>
      </c>
      <c r="G15" s="145"/>
      <c r="H15" s="145"/>
    </row>
    <row r="16" spans="1:22" ht="28" customHeight="1" x14ac:dyDescent="0.4">
      <c r="A16" s="353"/>
      <c r="B16" s="169"/>
      <c r="C16" s="230" t="s">
        <v>132</v>
      </c>
      <c r="D16" s="143"/>
      <c r="E16" s="144"/>
      <c r="F16" s="356"/>
      <c r="G16" s="149"/>
      <c r="H16" s="135" t="s">
        <v>134</v>
      </c>
      <c r="K16" s="135" t="s">
        <v>135</v>
      </c>
      <c r="L16" s="135" t="s">
        <v>133</v>
      </c>
      <c r="M16" s="135" t="s">
        <v>31</v>
      </c>
      <c r="N16" s="135" t="s">
        <v>136</v>
      </c>
    </row>
    <row r="17" spans="1:15" ht="28.5" customHeight="1" x14ac:dyDescent="0.4">
      <c r="A17" s="354"/>
      <c r="B17" s="170"/>
      <c r="C17" s="232" t="s">
        <v>137</v>
      </c>
      <c r="D17" s="143"/>
      <c r="E17" s="144"/>
      <c r="F17" s="357"/>
      <c r="H17" s="135" t="s">
        <v>105</v>
      </c>
      <c r="K17" s="135" t="s">
        <v>25</v>
      </c>
      <c r="L17" s="135" t="s">
        <v>26</v>
      </c>
      <c r="M17" s="135" t="s">
        <v>106</v>
      </c>
    </row>
    <row r="18" spans="1:15" x14ac:dyDescent="0.4">
      <c r="A18" s="361" t="s">
        <v>138</v>
      </c>
      <c r="B18" s="165"/>
      <c r="C18" s="231" t="s">
        <v>249</v>
      </c>
      <c r="D18" s="143"/>
      <c r="E18" s="144"/>
      <c r="F18" s="363" t="s">
        <v>298</v>
      </c>
      <c r="G18" s="150"/>
      <c r="H18" s="145" t="s">
        <v>139</v>
      </c>
      <c r="K18" s="135" t="s">
        <v>25</v>
      </c>
      <c r="L18" s="135" t="s">
        <v>26</v>
      </c>
      <c r="M18" s="135" t="s">
        <v>106</v>
      </c>
    </row>
    <row r="19" spans="1:15" ht="23.5" customHeight="1" x14ac:dyDescent="0.4">
      <c r="A19" s="362"/>
      <c r="B19" s="168"/>
      <c r="C19" s="232" t="s">
        <v>140</v>
      </c>
      <c r="D19" s="143"/>
      <c r="E19" s="144"/>
      <c r="F19" s="351"/>
      <c r="H19" s="151" t="s">
        <v>141</v>
      </c>
      <c r="K19" s="135" t="s">
        <v>25</v>
      </c>
      <c r="L19" s="135" t="s">
        <v>26</v>
      </c>
      <c r="M19" s="135" t="s">
        <v>106</v>
      </c>
    </row>
    <row r="20" spans="1:15" ht="15.75" customHeight="1" x14ac:dyDescent="0.4">
      <c r="A20" s="364" t="s">
        <v>142</v>
      </c>
      <c r="B20" s="171"/>
      <c r="C20" s="233" t="s">
        <v>143</v>
      </c>
      <c r="D20" s="185">
        <f>'Code Reqts'!F9*2</f>
        <v>12</v>
      </c>
      <c r="E20" s="144"/>
      <c r="F20" s="351" t="s">
        <v>299</v>
      </c>
      <c r="G20" s="145"/>
    </row>
    <row r="21" spans="1:15" ht="15.75" customHeight="1" x14ac:dyDescent="0.4">
      <c r="A21" s="365"/>
      <c r="B21" s="172"/>
      <c r="C21" s="179" t="s">
        <v>144</v>
      </c>
      <c r="D21" s="143"/>
      <c r="E21" s="144"/>
      <c r="F21" s="351"/>
      <c r="H21" s="135" t="s">
        <v>105</v>
      </c>
      <c r="K21" s="135" t="s">
        <v>25</v>
      </c>
      <c r="L21" s="135" t="s">
        <v>26</v>
      </c>
      <c r="M21" s="135" t="s">
        <v>106</v>
      </c>
    </row>
    <row r="22" spans="1:15" ht="15.75" customHeight="1" x14ac:dyDescent="0.4">
      <c r="A22" s="365"/>
      <c r="B22" s="172"/>
      <c r="C22" s="179" t="s">
        <v>145</v>
      </c>
      <c r="D22" s="225"/>
      <c r="E22" s="144"/>
      <c r="F22" s="351"/>
      <c r="G22" s="145"/>
    </row>
    <row r="23" spans="1:15" x14ac:dyDescent="0.4">
      <c r="A23" s="365"/>
      <c r="B23" s="172"/>
      <c r="C23" s="230" t="s">
        <v>146</v>
      </c>
      <c r="D23" s="143"/>
      <c r="E23" s="144"/>
      <c r="F23" s="351"/>
      <c r="G23" s="145"/>
      <c r="H23" s="135" t="s">
        <v>139</v>
      </c>
      <c r="K23" s="135" t="s">
        <v>25</v>
      </c>
      <c r="L23" s="135" t="s">
        <v>26</v>
      </c>
      <c r="M23" s="135" t="s">
        <v>106</v>
      </c>
      <c r="N23" s="106"/>
    </row>
    <row r="24" spans="1:15" ht="28.5" customHeight="1" x14ac:dyDescent="0.4">
      <c r="A24" s="366"/>
      <c r="B24" s="173"/>
      <c r="C24" s="229" t="s">
        <v>148</v>
      </c>
      <c r="D24" s="143"/>
      <c r="E24" s="144"/>
      <c r="F24" s="351"/>
      <c r="H24" s="135" t="s">
        <v>139</v>
      </c>
      <c r="K24" s="135" t="s">
        <v>25</v>
      </c>
      <c r="L24" s="135" t="s">
        <v>26</v>
      </c>
      <c r="M24" s="135" t="s">
        <v>106</v>
      </c>
      <c r="N24" s="106" t="s">
        <v>147</v>
      </c>
    </row>
    <row r="25" spans="1:15" x14ac:dyDescent="0.4">
      <c r="A25" s="367" t="s">
        <v>149</v>
      </c>
      <c r="B25" s="165"/>
      <c r="C25" s="233" t="s">
        <v>150</v>
      </c>
      <c r="D25" s="143"/>
      <c r="E25" s="144"/>
      <c r="F25" s="370" t="s">
        <v>300</v>
      </c>
      <c r="G25" s="152"/>
      <c r="H25" s="135" t="s">
        <v>152</v>
      </c>
      <c r="K25" s="135" t="s">
        <v>27</v>
      </c>
      <c r="L25" s="135" t="s">
        <v>153</v>
      </c>
      <c r="M25" s="135" t="s">
        <v>151</v>
      </c>
      <c r="N25" s="135" t="s">
        <v>154</v>
      </c>
      <c r="O25" s="135" t="s">
        <v>155</v>
      </c>
    </row>
    <row r="26" spans="1:15" ht="15" customHeight="1" x14ac:dyDescent="0.4">
      <c r="A26" s="368"/>
      <c r="B26" s="174"/>
      <c r="C26" s="179" t="s">
        <v>156</v>
      </c>
      <c r="D26" s="143"/>
      <c r="E26" s="144"/>
      <c r="F26" s="356"/>
      <c r="G26" s="153"/>
      <c r="K26" s="135" t="s">
        <v>157</v>
      </c>
      <c r="L26" s="135" t="s">
        <v>158</v>
      </c>
      <c r="M26" s="135" t="s">
        <v>159</v>
      </c>
      <c r="N26" s="135" t="s">
        <v>155</v>
      </c>
    </row>
    <row r="27" spans="1:15" ht="15" customHeight="1" x14ac:dyDescent="0.4">
      <c r="A27" s="368"/>
      <c r="B27" s="174"/>
      <c r="C27" s="179" t="s">
        <v>160</v>
      </c>
      <c r="D27" s="143"/>
      <c r="E27" s="144"/>
      <c r="F27" s="356"/>
      <c r="G27" s="153"/>
      <c r="H27" s="135" t="s">
        <v>112</v>
      </c>
      <c r="K27" s="135" t="s">
        <v>157</v>
      </c>
      <c r="L27" s="135" t="s">
        <v>158</v>
      </c>
      <c r="M27" s="135" t="s">
        <v>159</v>
      </c>
      <c r="N27" s="135" t="s">
        <v>161</v>
      </c>
      <c r="O27" s="135" t="s">
        <v>155</v>
      </c>
    </row>
    <row r="28" spans="1:15" x14ac:dyDescent="0.4">
      <c r="A28" s="368"/>
      <c r="B28" s="174"/>
      <c r="C28" s="179" t="s">
        <v>162</v>
      </c>
      <c r="D28" s="143"/>
      <c r="E28" s="144"/>
      <c r="F28" s="356"/>
      <c r="G28" s="152"/>
      <c r="H28" s="135" t="s">
        <v>105</v>
      </c>
      <c r="K28" s="135" t="s">
        <v>25</v>
      </c>
      <c r="L28" s="135" t="s">
        <v>26</v>
      </c>
      <c r="M28" s="135" t="s">
        <v>106</v>
      </c>
    </row>
    <row r="29" spans="1:15" x14ac:dyDescent="0.4">
      <c r="A29" s="368"/>
      <c r="B29" s="174"/>
      <c r="C29" s="179" t="s">
        <v>167</v>
      </c>
      <c r="D29" s="143"/>
      <c r="E29" s="144"/>
      <c r="F29" s="356"/>
      <c r="G29" s="152"/>
      <c r="H29" s="135" t="s">
        <v>139</v>
      </c>
      <c r="K29" s="135" t="s">
        <v>25</v>
      </c>
      <c r="L29" s="135" t="s">
        <v>26</v>
      </c>
      <c r="M29" s="135" t="s">
        <v>106</v>
      </c>
    </row>
    <row r="30" spans="1:15" x14ac:dyDescent="0.4">
      <c r="A30" s="368"/>
      <c r="B30" s="174"/>
      <c r="C30" s="179" t="s">
        <v>247</v>
      </c>
      <c r="D30" s="143"/>
      <c r="E30" s="144"/>
      <c r="F30" s="356"/>
      <c r="G30" s="152"/>
      <c r="H30" s="135" t="s">
        <v>163</v>
      </c>
      <c r="K30" s="135" t="s">
        <v>164</v>
      </c>
      <c r="L30" s="135" t="s">
        <v>165</v>
      </c>
      <c r="M30" s="135" t="s">
        <v>166</v>
      </c>
      <c r="N30" s="135" t="s">
        <v>155</v>
      </c>
    </row>
    <row r="31" spans="1:15" x14ac:dyDescent="0.4">
      <c r="A31" s="369"/>
      <c r="B31" s="175"/>
      <c r="C31" s="232" t="s">
        <v>168</v>
      </c>
      <c r="D31" s="143"/>
      <c r="E31" s="144"/>
      <c r="F31" s="357"/>
      <c r="G31" s="145"/>
      <c r="H31" s="135" t="s">
        <v>139</v>
      </c>
      <c r="K31" s="135" t="s">
        <v>25</v>
      </c>
      <c r="L31" s="135" t="s">
        <v>26</v>
      </c>
      <c r="M31" s="135" t="s">
        <v>106</v>
      </c>
    </row>
    <row r="32" spans="1:15" ht="15" customHeight="1" x14ac:dyDescent="0.4">
      <c r="A32" s="358" t="s">
        <v>169</v>
      </c>
      <c r="B32" s="176"/>
      <c r="C32" s="233" t="s">
        <v>170</v>
      </c>
      <c r="D32" s="143"/>
      <c r="E32" s="144"/>
      <c r="F32" s="351" t="s">
        <v>171</v>
      </c>
      <c r="G32" s="145"/>
      <c r="H32" s="135" t="s">
        <v>139</v>
      </c>
      <c r="K32" s="135" t="s">
        <v>25</v>
      </c>
      <c r="L32" s="135" t="s">
        <v>26</v>
      </c>
      <c r="M32" s="135" t="s">
        <v>106</v>
      </c>
    </row>
    <row r="33" spans="1:13" ht="15" customHeight="1" x14ac:dyDescent="0.4">
      <c r="A33" s="359"/>
      <c r="B33" s="177"/>
      <c r="C33" s="179" t="s">
        <v>172</v>
      </c>
      <c r="D33" s="226"/>
      <c r="E33" s="144"/>
      <c r="F33" s="351"/>
      <c r="G33" s="145"/>
      <c r="H33" s="135" t="s">
        <v>173</v>
      </c>
    </row>
    <row r="34" spans="1:13" ht="15" customHeight="1" x14ac:dyDescent="0.4">
      <c r="A34" s="359"/>
      <c r="B34" s="177"/>
      <c r="C34" s="179" t="s">
        <v>174</v>
      </c>
      <c r="D34" s="226"/>
      <c r="E34" s="144"/>
      <c r="F34" s="351"/>
      <c r="G34" s="145"/>
      <c r="H34" s="135" t="s">
        <v>173</v>
      </c>
    </row>
    <row r="35" spans="1:13" x14ac:dyDescent="0.4">
      <c r="A35" s="360"/>
      <c r="B35" s="178"/>
      <c r="C35" s="232" t="s">
        <v>175</v>
      </c>
      <c r="D35" s="143"/>
      <c r="E35" s="144"/>
      <c r="F35" s="351"/>
      <c r="H35" s="135" t="s">
        <v>173</v>
      </c>
    </row>
    <row r="36" spans="1:13" ht="15.5" thickBot="1" x14ac:dyDescent="0.45">
      <c r="A36" s="179"/>
      <c r="B36" s="180"/>
      <c r="C36" s="179"/>
      <c r="D36" s="241"/>
      <c r="E36" s="243"/>
      <c r="F36" s="184"/>
    </row>
    <row r="37" spans="1:13" x14ac:dyDescent="0.4">
      <c r="A37" s="181"/>
      <c r="B37" s="181"/>
      <c r="C37" s="228" t="s">
        <v>176</v>
      </c>
      <c r="D37" s="242" t="s">
        <v>337</v>
      </c>
      <c r="E37" s="244"/>
      <c r="F37" s="240"/>
      <c r="G37" s="154"/>
      <c r="H37" s="155" t="s">
        <v>178</v>
      </c>
    </row>
    <row r="38" spans="1:13" x14ac:dyDescent="0.4">
      <c r="A38" s="182"/>
      <c r="B38" s="182"/>
      <c r="C38" s="179" t="s">
        <v>336</v>
      </c>
      <c r="D38" s="238"/>
      <c r="E38" s="144"/>
      <c r="H38" s="135" t="s">
        <v>139</v>
      </c>
      <c r="K38" s="135" t="s">
        <v>25</v>
      </c>
      <c r="L38" s="135" t="s">
        <v>26</v>
      </c>
      <c r="M38" s="135" t="s">
        <v>106</v>
      </c>
    </row>
    <row r="39" spans="1:13" x14ac:dyDescent="0.4">
      <c r="A39" s="182"/>
      <c r="B39" s="182"/>
      <c r="C39" s="179" t="s">
        <v>177</v>
      </c>
      <c r="D39" s="237"/>
      <c r="E39" s="144"/>
      <c r="H39" s="135" t="s">
        <v>139</v>
      </c>
      <c r="K39" s="135" t="s">
        <v>25</v>
      </c>
      <c r="L39" s="135" t="s">
        <v>26</v>
      </c>
      <c r="M39" s="135" t="s">
        <v>106</v>
      </c>
    </row>
    <row r="40" spans="1:13" x14ac:dyDescent="0.4">
      <c r="A40" s="182"/>
      <c r="B40" s="182"/>
      <c r="C40" s="179" t="s">
        <v>179</v>
      </c>
      <c r="D40" s="237"/>
      <c r="E40" s="144"/>
      <c r="H40" s="135" t="s">
        <v>139</v>
      </c>
      <c r="K40" s="135" t="s">
        <v>25</v>
      </c>
      <c r="L40" s="135" t="s">
        <v>26</v>
      </c>
      <c r="M40" s="135" t="s">
        <v>106</v>
      </c>
    </row>
    <row r="41" spans="1:13" x14ac:dyDescent="0.4">
      <c r="A41" s="182"/>
      <c r="B41" s="182"/>
      <c r="C41" s="179" t="s">
        <v>180</v>
      </c>
      <c r="D41" s="237"/>
      <c r="E41" s="144"/>
      <c r="H41" s="135" t="s">
        <v>139</v>
      </c>
      <c r="K41" s="135" t="s">
        <v>25</v>
      </c>
      <c r="L41" s="135" t="s">
        <v>26</v>
      </c>
      <c r="M41" s="135" t="s">
        <v>106</v>
      </c>
    </row>
    <row r="42" spans="1:13" x14ac:dyDescent="0.4">
      <c r="A42" s="182"/>
      <c r="B42" s="182"/>
      <c r="C42" s="179" t="s">
        <v>181</v>
      </c>
      <c r="D42" s="237"/>
      <c r="E42" s="144"/>
      <c r="H42" s="135" t="s">
        <v>139</v>
      </c>
      <c r="K42" s="135" t="s">
        <v>25</v>
      </c>
      <c r="L42" s="135" t="s">
        <v>26</v>
      </c>
      <c r="M42" s="135" t="s">
        <v>106</v>
      </c>
    </row>
    <row r="43" spans="1:13" x14ac:dyDescent="0.4">
      <c r="A43" s="182"/>
      <c r="B43" s="182"/>
      <c r="C43" s="179" t="s">
        <v>182</v>
      </c>
      <c r="D43" s="237"/>
      <c r="E43" s="144"/>
      <c r="G43" s="145"/>
      <c r="H43" s="137" t="s">
        <v>183</v>
      </c>
      <c r="K43" s="135" t="s">
        <v>25</v>
      </c>
      <c r="L43" s="135" t="s">
        <v>26</v>
      </c>
      <c r="M43" s="135" t="s">
        <v>106</v>
      </c>
    </row>
    <row r="44" spans="1:13" x14ac:dyDescent="0.4">
      <c r="A44" s="182"/>
      <c r="B44" s="182"/>
      <c r="C44" s="179"/>
      <c r="D44" s="144"/>
      <c r="E44" s="144"/>
      <c r="H44" s="155"/>
    </row>
    <row r="45" spans="1:13" x14ac:dyDescent="0.4">
      <c r="A45" s="182"/>
      <c r="B45" s="182"/>
      <c r="C45" s="227" t="s">
        <v>184</v>
      </c>
      <c r="D45" s="239"/>
      <c r="E45" s="144"/>
      <c r="H45" s="155" t="s">
        <v>178</v>
      </c>
    </row>
    <row r="46" spans="1:13" ht="33" customHeight="1" x14ac:dyDescent="0.4">
      <c r="A46" s="182"/>
      <c r="B46" s="182"/>
      <c r="C46" s="236" t="s">
        <v>185</v>
      </c>
      <c r="D46" s="237"/>
      <c r="E46" s="144"/>
      <c r="H46" s="135" t="s">
        <v>139</v>
      </c>
      <c r="K46" s="135" t="s">
        <v>25</v>
      </c>
      <c r="L46" s="135" t="s">
        <v>26</v>
      </c>
      <c r="M46" s="135" t="s">
        <v>106</v>
      </c>
    </row>
    <row r="47" spans="1:13" ht="30" x14ac:dyDescent="0.4">
      <c r="A47" s="182"/>
      <c r="B47" s="182"/>
      <c r="C47" s="236" t="s">
        <v>186</v>
      </c>
      <c r="D47" s="237"/>
      <c r="E47" s="144"/>
      <c r="H47" s="135" t="s">
        <v>139</v>
      </c>
      <c r="K47" s="135" t="s">
        <v>25</v>
      </c>
      <c r="L47" s="135" t="s">
        <v>26</v>
      </c>
      <c r="M47" s="135" t="s">
        <v>106</v>
      </c>
    </row>
    <row r="48" spans="1:13" ht="15.5" thickBot="1" x14ac:dyDescent="0.45">
      <c r="A48" s="246"/>
      <c r="B48" s="246"/>
      <c r="C48" s="232" t="s">
        <v>187</v>
      </c>
      <c r="D48" s="237"/>
      <c r="E48" s="144"/>
      <c r="F48" s="240"/>
      <c r="G48" s="156"/>
      <c r="H48" s="156" t="s">
        <v>139</v>
      </c>
      <c r="K48" s="135" t="s">
        <v>25</v>
      </c>
      <c r="L48" s="135" t="s">
        <v>26</v>
      </c>
      <c r="M48" s="135" t="s">
        <v>106</v>
      </c>
    </row>
    <row r="49" spans="1:13" hidden="1" x14ac:dyDescent="0.4"/>
    <row r="50" spans="1:13" hidden="1" x14ac:dyDescent="0.4">
      <c r="E50" s="135" t="s">
        <v>188</v>
      </c>
    </row>
    <row r="51" spans="1:13" ht="15" hidden="1" customHeight="1" x14ac:dyDescent="0.4">
      <c r="A51" s="138"/>
      <c r="B51" s="138"/>
      <c r="C51" s="150" t="s">
        <v>190</v>
      </c>
      <c r="D51" s="145" t="s">
        <v>191</v>
      </c>
      <c r="E51" s="138" t="s">
        <v>189</v>
      </c>
      <c r="F51" s="157" t="s">
        <v>192</v>
      </c>
      <c r="G51" s="150"/>
      <c r="H51" s="145" t="s">
        <v>193</v>
      </c>
      <c r="I51" s="151">
        <v>0</v>
      </c>
      <c r="J51" s="151">
        <v>10</v>
      </c>
      <c r="K51" s="151">
        <v>10</v>
      </c>
      <c r="L51" s="151">
        <v>0</v>
      </c>
      <c r="M51" s="151">
        <v>0</v>
      </c>
    </row>
    <row r="52" spans="1:13" hidden="1" x14ac:dyDescent="0.4">
      <c r="A52" s="138"/>
      <c r="B52" s="138"/>
      <c r="C52" s="150" t="s">
        <v>195</v>
      </c>
      <c r="D52" s="145" t="s">
        <v>196</v>
      </c>
      <c r="E52" s="138" t="s">
        <v>194</v>
      </c>
      <c r="F52" s="157"/>
      <c r="G52" s="150"/>
      <c r="H52" s="145" t="s">
        <v>197</v>
      </c>
      <c r="I52" s="151">
        <v>5</v>
      </c>
      <c r="J52" s="151">
        <v>5</v>
      </c>
      <c r="K52" s="151">
        <v>0</v>
      </c>
      <c r="L52" s="151">
        <v>10</v>
      </c>
      <c r="M52" s="151">
        <v>20</v>
      </c>
    </row>
    <row r="53" spans="1:13" ht="15" hidden="1" customHeight="1" x14ac:dyDescent="0.4">
      <c r="H53" s="135" t="s">
        <v>178</v>
      </c>
    </row>
    <row r="54" spans="1:13" hidden="1" x14ac:dyDescent="0.4">
      <c r="A54" s="138"/>
      <c r="B54" s="138"/>
      <c r="C54" s="135" t="s">
        <v>199</v>
      </c>
      <c r="E54" s="138" t="s">
        <v>198</v>
      </c>
      <c r="F54" s="158" t="s">
        <v>200</v>
      </c>
      <c r="G54" s="145"/>
      <c r="H54" s="135" t="s">
        <v>173</v>
      </c>
    </row>
    <row r="55" spans="1:13" s="160" customFormat="1" hidden="1" x14ac:dyDescent="0.4">
      <c r="A55" s="159"/>
      <c r="B55" s="159"/>
      <c r="C55" s="160" t="s">
        <v>201</v>
      </c>
      <c r="E55" s="159" t="s">
        <v>198</v>
      </c>
      <c r="F55" s="161"/>
      <c r="G55" s="162"/>
      <c r="H55" s="160" t="s">
        <v>139</v>
      </c>
    </row>
    <row r="56" spans="1:13" x14ac:dyDescent="0.4">
      <c r="C56" s="245"/>
      <c r="D56" s="245"/>
      <c r="E56" s="245"/>
    </row>
  </sheetData>
  <sheetProtection algorithmName="SHA-512" hashValue="DIOSYVn5B6JUYessoite6/DXxp1BVxg4hD3zWegn79YIswEVzHD293MR1lcMqVsXWN6/B/ONDkvcbZs4sMRHhA==" saltValue="iNuszvsUkARRbekDFCbacw==" spinCount="100000" sheet="1" objects="1" scenarios="1"/>
  <protectedRanges>
    <protectedRange sqref="D3 D7:D19 D21:D48" name="Input your answers"/>
  </protectedRanges>
  <mergeCells count="14">
    <mergeCell ref="A32:A35"/>
    <mergeCell ref="F32:F35"/>
    <mergeCell ref="A18:A19"/>
    <mergeCell ref="F18:F19"/>
    <mergeCell ref="A20:A24"/>
    <mergeCell ref="F20:F24"/>
    <mergeCell ref="A25:A31"/>
    <mergeCell ref="F25:F31"/>
    <mergeCell ref="A3:A9"/>
    <mergeCell ref="F3:F9"/>
    <mergeCell ref="A10:A14"/>
    <mergeCell ref="F10:F14"/>
    <mergeCell ref="A15:A17"/>
    <mergeCell ref="F15:F17"/>
  </mergeCells>
  <dataValidations count="13">
    <dataValidation type="list" allowBlank="1" showInputMessage="1" showErrorMessage="1" sqref="D24" xr:uid="{46255110-56EB-4519-AF55-AAF1F31B02CD}">
      <formula1>$K24:$N24</formula1>
    </dataValidation>
    <dataValidation type="list" allowBlank="1" showInputMessage="1" showErrorMessage="1" sqref="D27" xr:uid="{9046A398-F567-4272-BFC0-3B5940AF4745}">
      <formula1>$K$27:$O$27</formula1>
    </dataValidation>
    <dataValidation type="list" allowBlank="1" showInputMessage="1" showErrorMessage="1" sqref="D30" xr:uid="{FE891622-453E-4F8C-824E-5A2CC9F191A6}">
      <formula1>$K$30:$N$30</formula1>
    </dataValidation>
    <dataValidation type="list" allowBlank="1" showInputMessage="1" showErrorMessage="1" sqref="D25:D26" xr:uid="{C65F918D-64A0-45B0-86C2-BF0CDAE189BF}">
      <formula1>$K$25:$O$25</formula1>
    </dataValidation>
    <dataValidation type="list" allowBlank="1" showInputMessage="1" showErrorMessage="1" sqref="D16" xr:uid="{B9D479CB-F5D5-4863-9157-9730E0E58045}">
      <formula1>$K$16:$N$16</formula1>
    </dataValidation>
    <dataValidation type="list" allowBlank="1" showInputMessage="1" showErrorMessage="1" sqref="D14" xr:uid="{F40A6A9D-1542-49A8-8F12-BB9801A0993A}">
      <formula1>$K$14:$M$14</formula1>
    </dataValidation>
    <dataValidation type="list" allowBlank="1" showInputMessage="1" showErrorMessage="1" sqref="D13" xr:uid="{8E689F8C-04F8-4F30-8DC3-765714862C7B}">
      <formula1>$K$13:$O$13</formula1>
    </dataValidation>
    <dataValidation type="list" allowBlank="1" showInputMessage="1" showErrorMessage="1" sqref="D11:D12" xr:uid="{6B0E049B-547B-404B-BC1D-4E9146551040}">
      <formula1>$K$11:$M$11</formula1>
    </dataValidation>
    <dataValidation type="list" allowBlank="1" showInputMessage="1" showErrorMessage="1" sqref="D10" xr:uid="{D4105B5A-CFCC-4EE9-BEB8-CCDCE709CEDB}">
      <formula1>$K$10:$N$10</formula1>
    </dataValidation>
    <dataValidation type="list" allowBlank="1" showInputMessage="1" showErrorMessage="1" sqref="D29" xr:uid="{88A98407-93A7-4C83-9BE2-39AB439A6D8A}">
      <formula1>#REF!</formula1>
    </dataValidation>
    <dataValidation type="list" allowBlank="1" showInputMessage="1" showErrorMessage="1" sqref="D9 D17 D18 D19 D23 D28 D29 D31 D32" xr:uid="{76D999D7-B56B-4D9A-8983-3931DB9A393E}">
      <formula1>$K9:$M9</formula1>
    </dataValidation>
    <dataValidation type="list" allowBlank="1" showInputMessage="1" showErrorMessage="1" sqref="D21" xr:uid="{C997312A-99B3-4B16-968A-C9439549C68B}">
      <formula1>$K$21:$M$21</formula1>
    </dataValidation>
    <dataValidation type="list" allowBlank="1" showInputMessage="1" showErrorMessage="1" sqref="D26" xr:uid="{4BBC13A5-8646-4950-808B-A5F516CC1680}">
      <formula1>$K$26:$N$26</formula1>
    </dataValidation>
  </dataValidations>
  <hyperlinks>
    <hyperlink ref="F3:F9" r:id="rId1" display="See www.sfpuc.org/evchargesf [link] for &quot;Background for Making Your EV Action Plan&quot; - Overview Resources (esp. CALeVIP)" xr:uid="{E88906B2-85AC-4958-95AF-5D5738F7F6A3}"/>
  </hyperlinks>
  <pageMargins left="0.7" right="0.7" top="0.75" bottom="0.75" header="0.3" footer="0.3"/>
  <pageSetup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CF329-E004-4420-9520-C6602F10F444}">
  <sheetPr>
    <pageSetUpPr fitToPage="1"/>
  </sheetPr>
  <dimension ref="B1:O83"/>
  <sheetViews>
    <sheetView showGridLines="0" view="pageLayout" zoomScale="55" zoomScaleNormal="100" zoomScalePageLayoutView="55" workbookViewId="0">
      <selection activeCell="O5" sqref="O5"/>
    </sheetView>
  </sheetViews>
  <sheetFormatPr defaultColWidth="9.1796875" defaultRowHeight="16" x14ac:dyDescent="0.4"/>
  <cols>
    <col min="1" max="1" width="6.81640625" style="30" customWidth="1"/>
    <col min="2" max="2" width="5.81640625" style="30" customWidth="1"/>
    <col min="3" max="12" width="9.1796875" style="30"/>
    <col min="13" max="13" width="11.453125" style="30" customWidth="1"/>
    <col min="14" max="15" width="13.54296875" style="30" customWidth="1"/>
    <col min="16" max="16" width="9.1796875" style="30" customWidth="1"/>
    <col min="17" max="16384" width="9.1796875" style="30"/>
  </cols>
  <sheetData>
    <row r="1" spans="2:9" ht="37" x14ac:dyDescent="0.9">
      <c r="D1" s="67" t="str">
        <f>IF(ISBLANK('Basic EV Plan Inputs'!D3),"[Project Name]",'Basic EV Plan Inputs'!D3)&amp;": EV Action Plan"</f>
        <v>[Project Name]: EV Action Plan</v>
      </c>
      <c r="I1" s="57"/>
    </row>
    <row r="2" spans="2:9" ht="25" x14ac:dyDescent="0.5">
      <c r="E2" s="66" t="s">
        <v>295</v>
      </c>
      <c r="H2" s="65"/>
      <c r="I2" s="57"/>
    </row>
    <row r="3" spans="2:9" ht="10.75" customHeight="1" x14ac:dyDescent="0.5">
      <c r="E3" s="66"/>
      <c r="H3" s="65"/>
      <c r="I3" s="57"/>
    </row>
    <row r="5" spans="2:9" ht="19" x14ac:dyDescent="0.5">
      <c r="B5" s="57" t="s">
        <v>350</v>
      </c>
    </row>
    <row r="6" spans="2:9" x14ac:dyDescent="0.4">
      <c r="B6" s="30" t="str">
        <f>"The project's near-term EV Charging plan is to provide "&amp;'Basic EV Plan Inputs'!D4&amp;" vehicle stalls with Level 2 EV charging, and "&amp;'Basic EV Plan Inputs'!D5&amp;" vehicle stalls with EV Charging Outlets."</f>
        <v>The project's near-term EV Charging plan is to provide 0 vehicle stalls with Level 2 EV charging, and 0 vehicle stalls with EV Charging Outlets.</v>
      </c>
    </row>
    <row r="7" spans="2:9" x14ac:dyDescent="0.4">
      <c r="B7" s="30" t="str">
        <f>"The project plans to run conduit to "&amp;'Basic EV Plan Inputs'!D6&amp;" additional vehicle stalls (to reduce future infrastructure costs)."</f>
        <v>The project plans to run conduit to 0 additional vehicle stalls (to reduce future infrastructure costs).</v>
      </c>
    </row>
    <row r="8" spans="2:9" x14ac:dyDescent="0.4">
      <c r="B8" s="30" t="str">
        <f>"The project has "&amp;IF(ISBLANK('Basic EV Plan Inputs'!D32),"[Inputs required]",IF('Basic EV Plan Inputs'!D32="yes","selected", "not yet selected"))&amp;" an EVSE vendor for the project."</f>
        <v>The project has [Inputs required] an EVSE vendor for the project.</v>
      </c>
    </row>
    <row r="9" spans="2:9" x14ac:dyDescent="0.4">
      <c r="B9" s="30" t="str">
        <f>"The project "&amp;IF(ISBLANK('Basic EV Plan Inputs'!D9),"[Inputs required]",IF('Basic EV Plan Inputs'!D9="yes","expects", "does not expect"))&amp;" to earn LEED points for EV Charging on site."</f>
        <v>The project [Inputs required] to earn LEED points for EV Charging on site.</v>
      </c>
    </row>
    <row r="10" spans="2:9" x14ac:dyDescent="0.4">
      <c r="B10" s="30" t="str">
        <f>"In future, the site expects to have approximately "&amp;IF(ISBLANK('Basic EV Plan Inputs'!D7),"[Inputs required] ",'Basic EV Plan Inputs'!D7)&amp;" vehicle stalls with Level 2 EV charging,"</f>
        <v>In future, the site expects to have approximately [Inputs required]  vehicle stalls with Level 2 EV charging,</v>
      </c>
    </row>
    <row r="11" spans="2:9" x14ac:dyDescent="0.4">
      <c r="B11" s="30" t="str">
        <f>"and "&amp;IF(ISBLANK('Basic EV Plan Inputs'!D9),"[Inputs required] ",'Basic EV Plan Inputs'!D9)&amp;" stalls with EV Charging Outlets."</f>
        <v>and [Inputs required]  stalls with EV Charging Outlets.</v>
      </c>
    </row>
    <row r="14" spans="2:9" ht="19" x14ac:dyDescent="0.5">
      <c r="B14" s="57" t="s">
        <v>202</v>
      </c>
    </row>
    <row r="15" spans="2:9" x14ac:dyDescent="0.4">
      <c r="B15" s="30" t="str">
        <f>"Demand for EV charging at this site is expected to be "&amp;IF(ISBLANK('Basic EV Plan Inputs'!D11),"[Inputs required] ",'Basic EV Plan Inputs'!D11)&amp;" in the near-term and "&amp;IF(ISBLANK('Basic EV Plan Inputs'!D12),"[Inputs required] ",'Basic EV Plan Inputs'!D12)&amp;" in the longer term."</f>
        <v>Demand for EV charging at this site is expected to be Low in the near-term and [Inputs required]  in the longer term.</v>
      </c>
    </row>
    <row r="16" spans="2:9" x14ac:dyDescent="0.4">
      <c r="B16" s="30" t="str">
        <f>"The building’s users, and users of site parking, are expected to be "&amp;IF(ISBLANK('Basic EV Plan Inputs'!D10),"[Inputs required] ",'Basic EV Plan Inputs'!D10)</f>
        <v>The building’s users, and users of site parking, are expected to be Residential Owners</v>
      </c>
    </row>
    <row r="17" spans="2:15" x14ac:dyDescent="0.4">
      <c r="B17" s="30" t="str">
        <f>"Considering these and other factors, the buildings general strategy for EV Charger development is: "</f>
        <v xml:space="preserve">Considering these and other factors, the buildings general strategy for EV Charger development is: </v>
      </c>
    </row>
    <row r="18" spans="2:15" x14ac:dyDescent="0.4">
      <c r="C18" s="30" t="str">
        <f>"- During construction, "&amp;IF(ISBLANK('Basic EV Plan Inputs'!D13),"[Inputs required] ",'Basic EV Plan Inputs'!D13)</f>
        <v xml:space="preserve">- During construction, [Inputs required] </v>
      </c>
    </row>
    <row r="19" spans="2:15" x14ac:dyDescent="0.4">
      <c r="C19" s="30" t="str">
        <f>"- After the completion of construction, "&amp;IF(ISBLANK('Basic EV Plan Inputs'!D14),"[Inputs required] ",'Basic EV Plan Inputs'!D14)</f>
        <v xml:space="preserve">- After the completion of construction, [Inputs required] </v>
      </c>
    </row>
    <row r="22" spans="2:15" ht="19" x14ac:dyDescent="0.5">
      <c r="B22" s="57" t="s">
        <v>203</v>
      </c>
    </row>
    <row r="23" spans="2:15" x14ac:dyDescent="0.4">
      <c r="B23" s="32" t="s">
        <v>246</v>
      </c>
    </row>
    <row r="24" spans="2:15" x14ac:dyDescent="0.4">
      <c r="C24" s="30" t="str">
        <f>IF(ISBLANK('Basic EV Plan Inputs'!D15),"[Inputs required] ",'Basic EV Plan Inputs'!D15)</f>
        <v xml:space="preserve">[Inputs required] </v>
      </c>
    </row>
    <row r="25" spans="2:15" x14ac:dyDescent="0.4">
      <c r="B25" s="30" t="str">
        <f>"During the building's operations phase, the EV Charging investment strategy is expected to be driven by: "&amp;IF(ISBLANK('Basic EV Plan Inputs'!D16),"[Inputs required]",'Basic EV Plan Inputs'!D16)</f>
        <v>During the building's operations phase, the EV Charging investment strategy is expected to be driven by: [Inputs required]</v>
      </c>
    </row>
    <row r="26" spans="2:15" x14ac:dyDescent="0.4">
      <c r="B26" s="30" t="str">
        <f>"Representatives of the building operations team "&amp;IF(ISBLANK('Basic EV Plan Inputs'!D17),"[Inputs required]",IF('Basic EV Plan Inputs'!D17="yes","have","have not"))&amp;" provided input to this EV Action Plan."</f>
        <v>Representatives of the building operations team [Inputs required] provided input to this EV Action Plan.</v>
      </c>
    </row>
    <row r="29" spans="2:15" ht="19" x14ac:dyDescent="0.5">
      <c r="B29" s="57" t="s">
        <v>0</v>
      </c>
    </row>
    <row r="30" spans="2:15" x14ac:dyDescent="0.4">
      <c r="B30" s="30" t="str">
        <f>"The project will "&amp;IF(ISBLANK('Basic EV Plan Inputs'!D18),"[Inputs required]",IF('Basic EV Plan Inputs'!D18="yes","meet or exceed","not meet")&amp;" the EV ordinance requirements listed below.")</f>
        <v>The project will [Inputs required]</v>
      </c>
    </row>
    <row r="32" spans="2:15" ht="16.5" thickBot="1" x14ac:dyDescent="0.45">
      <c r="B32" s="32"/>
      <c r="C32" s="31" t="s">
        <v>0</v>
      </c>
      <c r="O32" s="31"/>
    </row>
    <row r="33" spans="2:15" x14ac:dyDescent="0.4">
      <c r="C33" s="33" t="s">
        <v>204</v>
      </c>
      <c r="D33" s="34"/>
      <c r="E33" s="34"/>
      <c r="F33" s="34"/>
      <c r="G33" s="34"/>
      <c r="H33" s="34"/>
      <c r="I33" s="34"/>
      <c r="J33" s="34"/>
      <c r="K33" s="34"/>
      <c r="L33" s="34"/>
      <c r="M33" s="35"/>
      <c r="N33" s="68">
        <f>'Code Reqts'!F4</f>
        <v>60</v>
      </c>
      <c r="O33" s="36"/>
    </row>
    <row r="34" spans="2:15" x14ac:dyDescent="0.4">
      <c r="C34" s="37" t="s">
        <v>205</v>
      </c>
      <c r="D34" s="38"/>
      <c r="E34" s="38"/>
      <c r="F34" s="39"/>
      <c r="G34" s="39"/>
      <c r="H34" s="39"/>
      <c r="I34" s="39"/>
      <c r="J34" s="39"/>
      <c r="K34" s="39"/>
      <c r="L34" s="39"/>
      <c r="M34" s="40"/>
      <c r="N34" s="69">
        <f>'Code Reqts'!F6</f>
        <v>12</v>
      </c>
      <c r="O34" s="29"/>
    </row>
    <row r="35" spans="2:15" x14ac:dyDescent="0.4">
      <c r="C35" s="41" t="s">
        <v>311</v>
      </c>
      <c r="D35" s="38"/>
      <c r="E35" s="38"/>
      <c r="F35" s="39"/>
      <c r="G35" s="39"/>
      <c r="H35" s="39"/>
      <c r="I35" s="39"/>
      <c r="J35" s="39"/>
      <c r="K35" s="39"/>
      <c r="L35" s="39"/>
      <c r="M35" s="40"/>
      <c r="N35" s="69">
        <f>'Code Reqts'!F7</f>
        <v>480</v>
      </c>
      <c r="O35" s="29"/>
    </row>
    <row r="36" spans="2:15" x14ac:dyDescent="0.4">
      <c r="C36" s="37" t="s">
        <v>312</v>
      </c>
      <c r="D36" s="38"/>
      <c r="E36" s="38"/>
      <c r="F36" s="39"/>
      <c r="G36" s="39"/>
      <c r="H36" s="39"/>
      <c r="I36" s="39"/>
      <c r="J36" s="39"/>
      <c r="K36" s="39"/>
      <c r="L36" s="39"/>
      <c r="M36" s="40"/>
      <c r="N36" s="69">
        <f>'Code Reqts'!F9</f>
        <v>6</v>
      </c>
      <c r="O36" s="29"/>
    </row>
    <row r="37" spans="2:15" ht="16.5" thickBot="1" x14ac:dyDescent="0.45">
      <c r="C37" s="42" t="s">
        <v>313</v>
      </c>
      <c r="D37" s="43"/>
      <c r="E37" s="43"/>
      <c r="F37" s="44"/>
      <c r="G37" s="44"/>
      <c r="H37" s="44"/>
      <c r="I37" s="44"/>
      <c r="J37" s="44"/>
      <c r="K37" s="44"/>
      <c r="L37" s="44"/>
      <c r="M37" s="45"/>
      <c r="N37" s="70">
        <f>'Code Reqts'!F10</f>
        <v>6</v>
      </c>
      <c r="O37" s="29"/>
    </row>
    <row r="38" spans="2:15" x14ac:dyDescent="0.4">
      <c r="C38" s="46"/>
      <c r="N38" s="29"/>
    </row>
    <row r="39" spans="2:15" ht="19.5" thickBot="1" x14ac:dyDescent="0.55000000000000004">
      <c r="B39" s="57" t="s">
        <v>206</v>
      </c>
    </row>
    <row r="40" spans="2:15" ht="32" x14ac:dyDescent="0.4">
      <c r="C40" s="47" t="s">
        <v>207</v>
      </c>
      <c r="D40" s="48"/>
      <c r="E40" s="34"/>
      <c r="F40" s="34"/>
      <c r="G40" s="34"/>
      <c r="H40" s="34"/>
      <c r="I40" s="34"/>
      <c r="J40" s="34"/>
      <c r="K40" s="34"/>
      <c r="L40" s="34"/>
      <c r="M40" s="34"/>
      <c r="N40" s="71" t="s">
        <v>40</v>
      </c>
      <c r="O40" s="72" t="s">
        <v>52</v>
      </c>
    </row>
    <row r="41" spans="2:15" x14ac:dyDescent="0.4">
      <c r="C41" s="49" t="s">
        <v>263</v>
      </c>
      <c r="D41" s="50"/>
      <c r="E41" s="38"/>
      <c r="F41" s="38"/>
      <c r="G41" s="39"/>
      <c r="H41" s="39"/>
      <c r="I41" s="39"/>
      <c r="J41" s="39"/>
      <c r="K41" s="39"/>
      <c r="L41" s="39"/>
      <c r="M41" s="39"/>
      <c r="N41" s="73">
        <f>Incentives!E8</f>
        <v>0</v>
      </c>
      <c r="O41" s="74">
        <f>Incentives!F8</f>
        <v>0</v>
      </c>
    </row>
    <row r="42" spans="2:15" x14ac:dyDescent="0.4">
      <c r="C42" s="49" t="s">
        <v>264</v>
      </c>
      <c r="D42" s="50"/>
      <c r="E42" s="38"/>
      <c r="F42" s="38"/>
      <c r="G42" s="39"/>
      <c r="H42" s="39"/>
      <c r="I42" s="39"/>
      <c r="J42" s="39"/>
      <c r="K42" s="39"/>
      <c r="L42" s="39"/>
      <c r="M42" s="39"/>
      <c r="N42" s="73">
        <f>Incentives!E10</f>
        <v>0</v>
      </c>
      <c r="O42" s="74">
        <f>Incentives!F10</f>
        <v>0</v>
      </c>
    </row>
    <row r="43" spans="2:15" x14ac:dyDescent="0.4">
      <c r="C43" s="49" t="s">
        <v>265</v>
      </c>
      <c r="D43" s="50"/>
      <c r="E43" s="38"/>
      <c r="F43" s="38"/>
      <c r="G43" s="39"/>
      <c r="H43" s="39"/>
      <c r="I43" s="39"/>
      <c r="J43" s="39"/>
      <c r="K43" s="39"/>
      <c r="L43" s="39"/>
      <c r="M43" s="39"/>
      <c r="N43" s="73">
        <f>Incentives!E11</f>
        <v>0</v>
      </c>
      <c r="O43" s="74">
        <f>Incentives!F11</f>
        <v>0</v>
      </c>
    </row>
    <row r="44" spans="2:15" ht="16.5" thickBot="1" x14ac:dyDescent="0.45">
      <c r="C44" s="51" t="s">
        <v>266</v>
      </c>
      <c r="D44" s="52"/>
      <c r="E44" s="53"/>
      <c r="F44" s="53"/>
      <c r="G44" s="54"/>
      <c r="H44" s="54"/>
      <c r="I44" s="54"/>
      <c r="J44" s="54"/>
      <c r="K44" s="54"/>
      <c r="L44" s="54"/>
      <c r="M44" s="54"/>
      <c r="N44" s="75">
        <f>Incentives!E12</f>
        <v>0</v>
      </c>
      <c r="O44" s="76">
        <f>Incentives!F12</f>
        <v>0</v>
      </c>
    </row>
    <row r="45" spans="2:15" ht="16.5" thickBot="1" x14ac:dyDescent="0.45">
      <c r="C45" s="51" t="s">
        <v>208</v>
      </c>
      <c r="D45" s="55"/>
      <c r="E45" s="56"/>
      <c r="F45" s="56"/>
      <c r="G45" s="56"/>
      <c r="H45" s="56"/>
      <c r="I45" s="56"/>
      <c r="J45" s="56"/>
      <c r="K45" s="56"/>
      <c r="L45" s="56"/>
      <c r="M45" s="56"/>
      <c r="N45" s="75">
        <f>SUM(N41:N44)</f>
        <v>0</v>
      </c>
      <c r="O45" s="77">
        <f>N45/N33</f>
        <v>0</v>
      </c>
    </row>
    <row r="46" spans="2:15" x14ac:dyDescent="0.4">
      <c r="C46" s="46"/>
      <c r="N46" s="29"/>
      <c r="O46" s="78"/>
    </row>
    <row r="47" spans="2:15" x14ac:dyDescent="0.4">
      <c r="C47" s="46"/>
    </row>
    <row r="48" spans="2:15" ht="19" x14ac:dyDescent="0.5">
      <c r="B48" s="57" t="s">
        <v>142</v>
      </c>
      <c r="C48" s="46"/>
    </row>
    <row r="49" spans="2:3" x14ac:dyDescent="0.4">
      <c r="B49" s="30" t="str">
        <f>"The building's code-required EV Charging electrical capacity is "&amp;'Basic EV Plan Inputs'!U4&amp;" amps, which is enough to power Level 2 EV Chargers in "&amp;'Basic EV Plan Inputs'!U4/40&amp;" vehicle stalls."</f>
        <v>The building's code-required EV Charging electrical capacity is 800 amps, which is enough to power Level 2 EV Chargers in 20 vehicle stalls.</v>
      </c>
      <c r="C49" s="46"/>
    </row>
    <row r="50" spans="2:3" x14ac:dyDescent="0.4">
      <c r="B50" s="30" t="str">
        <f>"Alternatively, this amount of capacity could run Low Power (20A) EV Outlets for "&amp;'Basic EV Plan Inputs'!U4/20&amp;" vehicle stalls, or at least "&amp;'Basic EV Plan Inputs'!U4/20&amp;" stalls through 'circuit-sharing.'"</f>
        <v>Alternatively, this amount of capacity could run Low Power (20A) EV Outlets for 40 vehicle stalls, or at least 40 stalls through 'circuit-sharing.'</v>
      </c>
      <c r="C50" s="46"/>
    </row>
    <row r="51" spans="2:3" x14ac:dyDescent="0.4">
      <c r="B51" s="30" t="str">
        <f>"Through a network-based Automatic Load Management System, this capacity could be stretched to to eventually serve 100% of vehicle stalls. "</f>
        <v xml:space="preserve">Through a network-based Automatic Load Management System, this capacity could be stretched to to eventually serve 100% of vehicle stalls. </v>
      </c>
      <c r="C51" s="46"/>
    </row>
    <row r="52" spans="2:3" x14ac:dyDescent="0.4">
      <c r="B52" s="30" t="str">
        <f>"At this time, the site "&amp;IF(ISBLANK('Basic EV Plan Inputs'!D23),"[Inputs required]",IF('Basic EV Plan Inputs'!D23="yes","does","does not"))&amp;" plan to employ load management strategies, and "&amp;IF(ISBLANK('Basic EV Plan Inputs'!D24),"[Inputs required]",IF('Basic EV Plan Inputs'!D24="yes","does","does not"))&amp;" plan to add electrical capacity to"</f>
        <v>At this time, the site [Inputs required] plan to employ load management strategies, and [Inputs required] plan to add electrical capacity to</v>
      </c>
      <c r="C52" s="46"/>
    </row>
    <row r="53" spans="2:3" x14ac:dyDescent="0.4">
      <c r="B53" s="30" t="str">
        <f>"expand EV charging in the future."</f>
        <v>expand EV charging in the future.</v>
      </c>
      <c r="C53" s="46"/>
    </row>
    <row r="54" spans="2:3" x14ac:dyDescent="0.4">
      <c r="C54" s="46"/>
    </row>
    <row r="55" spans="2:3" ht="19" x14ac:dyDescent="0.5">
      <c r="B55" s="57" t="s">
        <v>209</v>
      </c>
    </row>
    <row r="56" spans="2:3" x14ac:dyDescent="0.4">
      <c r="B56" s="30" t="str">
        <f>"In the future, the EV Charging stations are expected to be owned by: "&amp;IF(ISBLANK('Basic EV Plan Inputs'!D25),"[Inputs required] ",'Basic EV Plan Inputs'!D25)</f>
        <v xml:space="preserve">In the future, the EV Charging stations are expected to be owned by: [Inputs required] </v>
      </c>
    </row>
    <row r="57" spans="2:3" x14ac:dyDescent="0.4">
      <c r="B57" s="30" t="str">
        <f>"The site's approach to Networking for Level 2 EV Charging stations is expected to use "&amp;IF(ISBLANK('Basic EV Plan Inputs'!D26),"[Inputs required] ",'Basic EV Plan Inputs'!D26)</f>
        <v xml:space="preserve">The site's approach to Networking for Level 2 EV Charging stations is expected to use [Inputs required] </v>
      </c>
    </row>
    <row r="58" spans="2:3" x14ac:dyDescent="0.4">
      <c r="B58" s="30" t="str">
        <f>"In the future, management of EV charger maintenance and billing for the EV Charging stations will be by: "&amp;IF(ISBLANK('Basic EV Plan Inputs'!D27),"[Inputs required] ",'Basic EV Plan Inputs'!D27)</f>
        <v xml:space="preserve">In the future, management of EV charger maintenance and billing for the EV Charging stations will be by: [Inputs required] </v>
      </c>
    </row>
    <row r="59" spans="2:3" x14ac:dyDescent="0.4">
      <c r="B59" s="30" t="str">
        <f>"The electricity supply to EV Charging stations will be "&amp;IF(ISBLANK('Basic EV Plan Inputs'!D28),"[Inputs required]",IF('Basic EV Plan Inputs'!D28="yes","separate","not separate"))&amp;" from the rest of the building loads."</f>
        <v>The electricity supply to EV Charging stations will be [Inputs required] from the rest of the building loads.</v>
      </c>
    </row>
    <row r="61" spans="2:3" ht="19" x14ac:dyDescent="0.5">
      <c r="B61" s="57" t="s">
        <v>210</v>
      </c>
    </row>
    <row r="62" spans="2:3" x14ac:dyDescent="0.4">
      <c r="B62" s="30" t="str">
        <f>"The plan for the project is that the "&amp;IF(ISBLANK('Basic EV Plan Inputs'!D30),"[Inputs Required]",'Basic EV Plan Inputs'!D30)&amp;" will pay for the electricity (kWh and kW) for the EV Charging stations."</f>
        <v>The plan for the project is that the [Inputs Required] will pay for the electricity (kWh and kW) for the EV Charging stations.</v>
      </c>
    </row>
    <row r="63" spans="2:3" x14ac:dyDescent="0.4">
      <c r="B63" s="30" t="str">
        <f>"The project "&amp;IF(ISBLANK('Basic EV Plan Inputs'!D29),"[Inputs required]",IF('Basic EV Plan Inputs'!D29="yes","will","will not"))&amp;" charge drivers for using the EVSE."</f>
        <v>The project [Inputs required] charge drivers for using the EVSE.</v>
      </c>
    </row>
    <row r="64" spans="2:3" x14ac:dyDescent="0.4">
      <c r="B64" s="30" t="str">
        <f>"The drivers "&amp;IF(ISBLANK('Basic EV Plan Inputs'!D31),"[Inputs required]",IF('Basic EV Plan Inputs'!D31="yes","will","will not"))&amp;" pay a fee which includes annual networking costs and maintenance of the EVSE."</f>
        <v>The drivers [Inputs required] pay a fee which includes annual networking costs and maintenance of the EVSE.</v>
      </c>
    </row>
    <row r="66" spans="2:4" ht="19" x14ac:dyDescent="0.5">
      <c r="B66" s="57" t="s">
        <v>211</v>
      </c>
    </row>
    <row r="67" spans="2:4" x14ac:dyDescent="0.4">
      <c r="B67" s="30" t="str">
        <f>"At this time, the project's planned EV equipment vendor is "&amp;IF(ISBLANK('Basic EV Plan Inputs'!D33),"not yet determined",'Basic EV Plan Inputs'!D33)&amp;" and the EVSE model planned is "&amp;IF(ISBLANK('Basic EV Plan Inputs'!D35),"not yet determined",'Basic EV Plan Inputs'!D35)&amp;"."</f>
        <v>At this time, the project's planned EV equipment vendor is not yet determined and the EVSE model planned is not yet determined.</v>
      </c>
    </row>
    <row r="68" spans="2:4" x14ac:dyDescent="0.4">
      <c r="B68" s="30" t="str">
        <f>"The reason for this selections is "&amp;IF(ISBLANK('Basic EV Plan Inputs'!D34),"[no reason given]",'Basic EV Plan Inputs'!D34)</f>
        <v>The reason for this selections is [no reason given]</v>
      </c>
    </row>
    <row r="70" spans="2:4" ht="19" x14ac:dyDescent="0.5">
      <c r="B70" s="57" t="s">
        <v>212</v>
      </c>
    </row>
    <row r="71" spans="2:4" x14ac:dyDescent="0.4">
      <c r="B71" s="30" t="s">
        <v>213</v>
      </c>
    </row>
    <row r="72" spans="2:4" x14ac:dyDescent="0.4">
      <c r="C72" s="30" t="str">
        <f>IF(ISBLANK('Basic EV Plan Inputs'!D38),"[not yet]",'Basic EV Plan Inputs'!D38)</f>
        <v>[not yet]</v>
      </c>
      <c r="D72" s="30" t="s">
        <v>214</v>
      </c>
    </row>
    <row r="73" spans="2:4" x14ac:dyDescent="0.4">
      <c r="C73" s="30" t="str">
        <f>IF(ISBLANK('Basic EV Plan Inputs'!D39),"[not yet]",'Basic EV Plan Inputs'!D39)</f>
        <v>[not yet]</v>
      </c>
      <c r="D73" s="30" t="s">
        <v>215</v>
      </c>
    </row>
    <row r="74" spans="2:4" x14ac:dyDescent="0.4">
      <c r="C74" s="30" t="str">
        <f>IF(ISBLANK('Basic EV Plan Inputs'!D40),"[not yet]",'Basic EV Plan Inputs'!D40)</f>
        <v>[not yet]</v>
      </c>
      <c r="D74" s="30" t="s">
        <v>216</v>
      </c>
    </row>
    <row r="75" spans="2:4" x14ac:dyDescent="0.4">
      <c r="C75" s="30" t="str">
        <f>IF(ISBLANK('Basic EV Plan Inputs'!D41),"[not yet]",'Basic EV Plan Inputs'!D41)</f>
        <v>[not yet]</v>
      </c>
      <c r="D75" s="30" t="s">
        <v>248</v>
      </c>
    </row>
    <row r="76" spans="2:4" x14ac:dyDescent="0.4">
      <c r="C76" s="30" t="str">
        <f>IF(ISBLANK('Basic EV Plan Inputs'!D42),"[not yet]",'Basic EV Plan Inputs'!D42)</f>
        <v>[not yet]</v>
      </c>
      <c r="D76" s="30" t="s">
        <v>217</v>
      </c>
    </row>
    <row r="77" spans="2:4" x14ac:dyDescent="0.4">
      <c r="C77" s="30" t="str">
        <f>IF(ISBLANK('Basic EV Plan Inputs'!D43),"[not yet]",'Basic EV Plan Inputs'!D43)</f>
        <v>[not yet]</v>
      </c>
      <c r="D77" s="30" t="s">
        <v>218</v>
      </c>
    </row>
    <row r="79" spans="2:4" ht="19" x14ac:dyDescent="0.5">
      <c r="B79" s="57" t="s">
        <v>219</v>
      </c>
    </row>
    <row r="80" spans="2:4" x14ac:dyDescent="0.4">
      <c r="B80" s="30" t="s">
        <v>220</v>
      </c>
    </row>
    <row r="81" spans="3:4" x14ac:dyDescent="0.4">
      <c r="C81" s="30" t="str">
        <f>IF(ISBLANK('Basic EV Plan Inputs'!D46),"[not yet]",'Basic EV Plan Inputs'!D46)</f>
        <v>[not yet]</v>
      </c>
      <c r="D81" s="30" t="s">
        <v>221</v>
      </c>
    </row>
    <row r="82" spans="3:4" x14ac:dyDescent="0.4">
      <c r="C82" s="30" t="str">
        <f>IF(ISBLANK('Basic EV Plan Inputs'!D47),"[not yet]",'Basic EV Plan Inputs'!D47)</f>
        <v>[not yet]</v>
      </c>
      <c r="D82" s="30" t="s">
        <v>222</v>
      </c>
    </row>
    <row r="83" spans="3:4" x14ac:dyDescent="0.4">
      <c r="C83" s="30" t="str">
        <f>IF(ISBLANK('Basic EV Plan Inputs'!D48),"[not yet]",'Basic EV Plan Inputs'!D48)</f>
        <v>[not yet]</v>
      </c>
      <c r="D83" s="30" t="s">
        <v>223</v>
      </c>
    </row>
  </sheetData>
  <sheetProtection algorithmName="SHA-512" hashValue="jS3g2A8Z8qrC6/8OR4Z7Nfx7oFJt8fz+USK39Te/eaP9ilwVgs01ai6m/Yfnv4dgxXZy2AraoMOj6FJ0HR/a7Q==" saltValue="XQsUqAaGl6yNlxpEErG4pA==" spinCount="100000" sheet="1" objects="1" scenarios="1"/>
  <pageMargins left="0.55833333333333335" right="0.53125" top="0.78080357142857137" bottom="0.75" header="0.30758928571428573" footer="0.3"/>
  <pageSetup scale="66" fitToHeight="2" orientation="portrait" r:id="rId1"/>
  <headerFooter>
    <oddHeader>&amp;RIn C&amp;"-,Italic"ollaboration with SFPUC's
EV Charge SF Program 
&amp;"-,Regular"(Basic Template)</oddHeader>
    <oddFooter>&amp;CEV Charge SF
San Francisco Public Utilities Commission&amp;RPage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B024A8D1DED34C9EE07CD1B7EA982E" ma:contentTypeVersion="" ma:contentTypeDescription="Create a new document." ma:contentTypeScope="" ma:versionID="a7667b29ce8692a08844f964b405f913">
  <xsd:schema xmlns:xsd="http://www.w3.org/2001/XMLSchema" xmlns:xs="http://www.w3.org/2001/XMLSchema" xmlns:p="http://schemas.microsoft.com/office/2006/metadata/properties" xmlns:ns1="http://schemas.microsoft.com/sharepoint/v3" xmlns:ns2="bc9f1854-00b1-47de-934b-ed8d8e0ba6c5" xmlns:ns3="ecfa4f70-6182-45eb-866f-72af81d392d4" xmlns:ns4="f08ec9a6-b51a-4c00-ad15-c2c879b888f0" targetNamespace="http://schemas.microsoft.com/office/2006/metadata/properties" ma:root="true" ma:fieldsID="6701204b38a6401ee36cdd948d61a52b" ns1:_="" ns2:_="" ns3:_="" ns4:_="">
    <xsd:import namespace="http://schemas.microsoft.com/sharepoint/v3"/>
    <xsd:import namespace="bc9f1854-00b1-47de-934b-ed8d8e0ba6c5"/>
    <xsd:import namespace="ecfa4f70-6182-45eb-866f-72af81d392d4"/>
    <xsd:import namespace="f08ec9a6-b51a-4c00-ad15-c2c879b888f0"/>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9f1854-00b1-47de-934b-ed8d8e0ba6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030b31-b262-4dfa-bb64-35cfdf7b07c2"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fa4f70-6182-45eb-866f-72af81d392d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8ec9a6-b51a-4c00-ad15-c2c879b888f0"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f1cbb372-83b4-4975-ae2a-fd32a66bfecb}" ma:internalName="TaxCatchAll" ma:showField="CatchAllData" ma:web="f08ec9a6-b51a-4c00-ad15-c2c879b88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xCatchAll xmlns="f08ec9a6-b51a-4c00-ad15-c2c879b888f0" xsi:nil="true"/>
    <lcf76f155ced4ddcb4097134ff3c332f xmlns="bc9f1854-00b1-47de-934b-ed8d8e0ba6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D622189-6E8D-4823-8A1D-DB9C4999BD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c9f1854-00b1-47de-934b-ed8d8e0ba6c5"/>
    <ds:schemaRef ds:uri="ecfa4f70-6182-45eb-866f-72af81d392d4"/>
    <ds:schemaRef ds:uri="f08ec9a6-b51a-4c00-ad15-c2c879b88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D8225C-8952-48A8-9226-D47BEC03980E}">
  <ds:schemaRefs>
    <ds:schemaRef ds:uri="http://schemas.microsoft.com/sharepoint/v3/contenttype/forms"/>
  </ds:schemaRefs>
</ds:datastoreItem>
</file>

<file path=customXml/itemProps3.xml><?xml version="1.0" encoding="utf-8"?>
<ds:datastoreItem xmlns:ds="http://schemas.openxmlformats.org/officeDocument/2006/customXml" ds:itemID="{FDC92A50-1607-4B54-AFED-5213838F424B}">
  <ds:schemaRef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f08ec9a6-b51a-4c00-ad15-c2c879b888f0"/>
    <ds:schemaRef ds:uri="ecfa4f70-6182-45eb-866f-72af81d392d4"/>
    <ds:schemaRef ds:uri="bc9f1854-00b1-47de-934b-ed8d8e0ba6c5"/>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Customer Info</vt:lpstr>
      <vt:lpstr>Code Reqts</vt:lpstr>
      <vt:lpstr>Incentives</vt:lpstr>
      <vt:lpstr>Load Mgmt Scenarios</vt:lpstr>
      <vt:lpstr>Definitions</vt:lpstr>
      <vt:lpstr>Basic EV Plan Inputs</vt:lpstr>
      <vt:lpstr>Basic EV Action Plan Text</vt:lpstr>
      <vt:lpstr>'Code Reqts'!Print_Area</vt:lpstr>
      <vt:lpstr>'Customer Info'!Print_Area</vt:lpstr>
      <vt:lpstr>Instructions!Print_Area</vt:lpstr>
      <vt:lpstr>'Load Mgmt Scenarios'!Print_Area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Maroney, Michael</dc:creator>
  <cp:keywords/>
  <dc:description/>
  <cp:lastModifiedBy>Gallotta, Peter K</cp:lastModifiedBy>
  <cp:revision/>
  <cp:lastPrinted>2022-08-12T20:20:37Z</cp:lastPrinted>
  <dcterms:created xsi:type="dcterms:W3CDTF">2021-08-03T22:59:39Z</dcterms:created>
  <dcterms:modified xsi:type="dcterms:W3CDTF">2023-01-11T16:19:17Z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0x01010060B024A8D1DED34C9EE07CD1B7EA982E</vt:lpwstr>
  </property>
  <property fmtid="{D5CDD505-2E9C-101B-9397-08002B2CF9AE}" pid="3" name="MediaServiceImageTags">
    <vt:lpwstr/>
  </property>
</Properties>
</file>